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5" windowWidth="19320" windowHeight="9270" tabRatio="232" firstSheet="6" activeTab="8"/>
  </bookViews>
  <sheets>
    <sheet name="Jan" sheetId="1" r:id="rId1"/>
    <sheet name="Feb" sheetId="3" r:id="rId2"/>
    <sheet name="March " sheetId="4" r:id="rId3"/>
    <sheet name="April" sheetId="5" r:id="rId4"/>
    <sheet name="May" sheetId="6" r:id="rId5"/>
    <sheet name="June" sheetId="7" r:id="rId6"/>
    <sheet name="July" sheetId="8" r:id="rId7"/>
    <sheet name="Aug" sheetId="9" r:id="rId8"/>
    <sheet name="Sept" sheetId="10" r:id="rId9"/>
    <sheet name="Oct" sheetId="11" r:id="rId10"/>
    <sheet name="Nov" sheetId="13" r:id="rId11"/>
    <sheet name="Dec" sheetId="14" r:id="rId12"/>
  </sheets>
  <definedNames>
    <definedName name="_xlnm.Print_Area" localSheetId="10">Nov!$A$1:$CG$42</definedName>
  </definedNames>
  <calcPr calcId="125725"/>
</workbook>
</file>

<file path=xl/calcChain.xml><?xml version="1.0" encoding="utf-8"?>
<calcChain xmlns="http://schemas.openxmlformats.org/spreadsheetml/2006/main">
  <c r="BW28" i="14"/>
  <c r="BW29"/>
  <c r="BW30"/>
  <c r="BW31"/>
  <c r="BW32"/>
  <c r="BW33"/>
  <c r="BW34"/>
  <c r="BW35"/>
  <c r="BW36"/>
  <c r="BW37"/>
  <c r="BW38"/>
  <c r="BW39"/>
  <c r="BW40"/>
  <c r="BW41"/>
  <c r="BW27"/>
  <c r="AH42"/>
  <c r="AO42"/>
  <c r="AN42"/>
  <c r="AI42" l="1"/>
  <c r="BG41"/>
  <c r="BE41"/>
  <c r="AQ41"/>
  <c r="BF41" s="1"/>
  <c r="AP41"/>
  <c r="AM41"/>
  <c r="AJ41"/>
  <c r="AF41"/>
  <c r="AI41"/>
  <c r="AH41"/>
  <c r="AG41"/>
  <c r="BG38"/>
  <c r="BG37"/>
  <c r="BG36"/>
  <c r="BG35"/>
  <c r="BG34"/>
  <c r="BG33"/>
  <c r="BG32"/>
  <c r="BG31"/>
  <c r="BG30"/>
  <c r="BG29"/>
  <c r="AD29"/>
  <c r="AR28" l="1"/>
  <c r="BE28"/>
  <c r="BE30"/>
  <c r="BE31"/>
  <c r="BE33"/>
  <c r="BG28"/>
  <c r="AD28"/>
  <c r="AC28"/>
  <c r="BE27"/>
  <c r="BE26"/>
  <c r="BG27"/>
  <c r="AR27"/>
  <c r="AD27"/>
  <c r="AC27"/>
  <c r="BF21"/>
  <c r="BG26"/>
  <c r="BG25"/>
  <c r="BG24"/>
  <c r="BG23"/>
  <c r="BG22"/>
  <c r="BG21"/>
  <c r="BG20"/>
  <c r="BW17"/>
  <c r="BW18"/>
  <c r="BW15"/>
  <c r="BW16"/>
  <c r="BW19"/>
  <c r="AI6" l="1"/>
  <c r="AI7"/>
  <c r="AI8"/>
  <c r="AI9"/>
  <c r="AI10"/>
  <c r="AI11"/>
  <c r="AI12"/>
  <c r="AI13"/>
  <c r="AI47" s="1"/>
  <c r="AI14"/>
  <c r="AI15"/>
  <c r="AI17"/>
  <c r="AI18"/>
  <c r="AI19"/>
  <c r="AI20"/>
  <c r="AI48" s="1"/>
  <c r="AI21"/>
  <c r="AI22"/>
  <c r="AI23"/>
  <c r="AI24"/>
  <c r="AI25"/>
  <c r="AI26"/>
  <c r="AI27"/>
  <c r="AI28"/>
  <c r="AI29"/>
  <c r="AI30"/>
  <c r="AI31"/>
  <c r="AI32"/>
  <c r="AI33"/>
  <c r="AI34"/>
  <c r="AI35"/>
  <c r="AI36"/>
  <c r="AI37"/>
  <c r="AI38"/>
  <c r="AI39"/>
  <c r="AI40"/>
  <c r="AI16"/>
  <c r="AF15"/>
  <c r="AG15"/>
  <c r="AH15"/>
  <c r="AJ15"/>
  <c r="AF16"/>
  <c r="AG16"/>
  <c r="AH16"/>
  <c r="AJ16"/>
  <c r="AF17"/>
  <c r="AG17"/>
  <c r="AH17"/>
  <c r="AJ17"/>
  <c r="AF18"/>
  <c r="AG18"/>
  <c r="AH18"/>
  <c r="AJ18"/>
  <c r="AF19"/>
  <c r="AG19"/>
  <c r="AH19"/>
  <c r="AJ19"/>
  <c r="AF20"/>
  <c r="AG20"/>
  <c r="AH20"/>
  <c r="AJ20"/>
  <c r="AF21"/>
  <c r="AG21"/>
  <c r="AH21"/>
  <c r="AJ21"/>
  <c r="AF22"/>
  <c r="AG22"/>
  <c r="AH22"/>
  <c r="AJ22"/>
  <c r="AF23"/>
  <c r="AG23"/>
  <c r="AH23"/>
  <c r="AJ23"/>
  <c r="AF24"/>
  <c r="AG24"/>
  <c r="AH24"/>
  <c r="AJ24"/>
  <c r="AF25"/>
  <c r="AG25"/>
  <c r="AH25"/>
  <c r="AJ25"/>
  <c r="AF26"/>
  <c r="AG26"/>
  <c r="AH26"/>
  <c r="AJ26"/>
  <c r="AF27"/>
  <c r="AG27"/>
  <c r="AH27"/>
  <c r="AJ27"/>
  <c r="AF28"/>
  <c r="AG28"/>
  <c r="AH28"/>
  <c r="AJ28"/>
  <c r="AF29"/>
  <c r="AG29"/>
  <c r="AH29"/>
  <c r="AJ29"/>
  <c r="AF30"/>
  <c r="AG30"/>
  <c r="AH30"/>
  <c r="AJ30"/>
  <c r="AF31"/>
  <c r="AG31"/>
  <c r="AH31"/>
  <c r="AJ31"/>
  <c r="AF32"/>
  <c r="AG32"/>
  <c r="AH32"/>
  <c r="AJ32"/>
  <c r="AF33"/>
  <c r="AG33"/>
  <c r="AH33"/>
  <c r="AJ33"/>
  <c r="AF34"/>
  <c r="AG34"/>
  <c r="AH34"/>
  <c r="AJ34"/>
  <c r="AF35"/>
  <c r="AG35"/>
  <c r="AH35"/>
  <c r="AJ35"/>
  <c r="AF36"/>
  <c r="AG36"/>
  <c r="AH36"/>
  <c r="AJ36"/>
  <c r="AF37"/>
  <c r="AG37"/>
  <c r="AH37"/>
  <c r="AJ37"/>
  <c r="AF38"/>
  <c r="AG38"/>
  <c r="AH38"/>
  <c r="AJ38"/>
  <c r="AF39"/>
  <c r="AG39"/>
  <c r="AH39"/>
  <c r="AJ39"/>
  <c r="AF40"/>
  <c r="AG40"/>
  <c r="AH40"/>
  <c r="AJ40"/>
  <c r="AG14"/>
  <c r="AG13"/>
  <c r="AG12"/>
  <c r="BG14"/>
  <c r="BG15"/>
  <c r="BG16"/>
  <c r="BG17"/>
  <c r="BG18"/>
  <c r="BG19"/>
  <c r="BG13"/>
  <c r="AJ13"/>
  <c r="AJ14"/>
  <c r="AH13"/>
  <c r="AH14"/>
  <c r="AF13"/>
  <c r="AF14"/>
  <c r="BG12"/>
  <c r="AJ12"/>
  <c r="AH12"/>
  <c r="AH46" s="1"/>
  <c r="AF12"/>
  <c r="O107"/>
  <c r="P107"/>
  <c r="Q107"/>
  <c r="R104"/>
  <c r="R105"/>
  <c r="K105"/>
  <c r="K104"/>
  <c r="L104"/>
  <c r="L105"/>
  <c r="M105"/>
  <c r="M104"/>
  <c r="N104"/>
  <c r="L103"/>
  <c r="M103"/>
  <c r="N103"/>
  <c r="AU58"/>
  <c r="AU59"/>
  <c r="AX57"/>
  <c r="AQ34"/>
  <c r="BF34" s="1"/>
  <c r="AQ35"/>
  <c r="BF35" s="1"/>
  <c r="AQ36"/>
  <c r="BF36" s="1"/>
  <c r="AQ37"/>
  <c r="BF37" s="1"/>
  <c r="AQ38"/>
  <c r="BF38" s="1"/>
  <c r="AQ39"/>
  <c r="AQ40"/>
  <c r="AN50"/>
  <c r="AO50"/>
  <c r="AK50"/>
  <c r="AL50"/>
  <c r="AE50"/>
  <c r="AD50"/>
  <c r="AC50"/>
  <c r="AB50"/>
  <c r="AA50"/>
  <c r="Z50"/>
  <c r="Y50"/>
  <c r="X50"/>
  <c r="W50"/>
  <c r="V50"/>
  <c r="U50"/>
  <c r="T50"/>
  <c r="S50"/>
  <c r="R50"/>
  <c r="Q50"/>
  <c r="P50"/>
  <c r="O50"/>
  <c r="N50"/>
  <c r="M50"/>
  <c r="L50"/>
  <c r="K50"/>
  <c r="J50"/>
  <c r="I50"/>
  <c r="H50"/>
  <c r="G50"/>
  <c r="F50"/>
  <c r="E50"/>
  <c r="D50"/>
  <c r="C50"/>
  <c r="AQ27"/>
  <c r="BF27" s="1"/>
  <c r="AQ28"/>
  <c r="BF28" s="1"/>
  <c r="AQ29"/>
  <c r="BF29" s="1"/>
  <c r="AQ30"/>
  <c r="BF30" s="1"/>
  <c r="AQ31"/>
  <c r="BF31" s="1"/>
  <c r="AQ32"/>
  <c r="BF32" s="1"/>
  <c r="AQ33"/>
  <c r="BF33" s="1"/>
  <c r="AN49"/>
  <c r="AO49"/>
  <c r="AK49"/>
  <c r="AL49"/>
  <c r="AG49"/>
  <c r="AE49"/>
  <c r="AD49"/>
  <c r="AC49"/>
  <c r="AB49"/>
  <c r="AA49"/>
  <c r="Z49"/>
  <c r="Y49"/>
  <c r="X49"/>
  <c r="W49"/>
  <c r="V49"/>
  <c r="U49"/>
  <c r="T49"/>
  <c r="S49"/>
  <c r="R49"/>
  <c r="Q49"/>
  <c r="P49"/>
  <c r="O49"/>
  <c r="N49"/>
  <c r="M49"/>
  <c r="L49"/>
  <c r="K49"/>
  <c r="J49"/>
  <c r="I49"/>
  <c r="H49"/>
  <c r="G49"/>
  <c r="F49"/>
  <c r="E49"/>
  <c r="D49"/>
  <c r="C49"/>
  <c r="AX48"/>
  <c r="AQ20"/>
  <c r="BF20" s="1"/>
  <c r="AQ22"/>
  <c r="BF22" s="1"/>
  <c r="AQ23"/>
  <c r="BF23" s="1"/>
  <c r="AQ24"/>
  <c r="BF24" s="1"/>
  <c r="AQ25"/>
  <c r="BF25" s="1"/>
  <c r="AQ26"/>
  <c r="BF26" s="1"/>
  <c r="AN48"/>
  <c r="AO48"/>
  <c r="AK48"/>
  <c r="AL48"/>
  <c r="AG48"/>
  <c r="AE48"/>
  <c r="AD48"/>
  <c r="AC48"/>
  <c r="AB48"/>
  <c r="AA48"/>
  <c r="Z48"/>
  <c r="Y48"/>
  <c r="X48"/>
  <c r="W48"/>
  <c r="V48"/>
  <c r="U48"/>
  <c r="T48"/>
  <c r="S48"/>
  <c r="R48"/>
  <c r="Q48"/>
  <c r="P48"/>
  <c r="O48"/>
  <c r="N48"/>
  <c r="M48"/>
  <c r="L48"/>
  <c r="K48"/>
  <c r="J48"/>
  <c r="I48"/>
  <c r="H48"/>
  <c r="G48"/>
  <c r="F48"/>
  <c r="E48"/>
  <c r="D48"/>
  <c r="C48"/>
  <c r="AX47"/>
  <c r="AQ13"/>
  <c r="BF13" s="1"/>
  <c r="AQ14"/>
  <c r="BF14" s="1"/>
  <c r="AQ15"/>
  <c r="BF15" s="1"/>
  <c r="AQ16"/>
  <c r="BF16" s="1"/>
  <c r="AQ17"/>
  <c r="BF17" s="1"/>
  <c r="AQ18"/>
  <c r="BF18" s="1"/>
  <c r="AQ19"/>
  <c r="BF19" s="1"/>
  <c r="AN47"/>
  <c r="AO47"/>
  <c r="AK47"/>
  <c r="AL47"/>
  <c r="AE47"/>
  <c r="AD47"/>
  <c r="AC47"/>
  <c r="AB47"/>
  <c r="AA47"/>
  <c r="Z47"/>
  <c r="Y47"/>
  <c r="X47"/>
  <c r="W47"/>
  <c r="V47"/>
  <c r="U47"/>
  <c r="T47"/>
  <c r="S47"/>
  <c r="R47"/>
  <c r="Q47"/>
  <c r="P47"/>
  <c r="O47"/>
  <c r="N47"/>
  <c r="M47"/>
  <c r="L47"/>
  <c r="K47"/>
  <c r="J47"/>
  <c r="I47"/>
  <c r="H47"/>
  <c r="G47"/>
  <c r="F47"/>
  <c r="E47"/>
  <c r="D47"/>
  <c r="C47"/>
  <c r="AQ11"/>
  <c r="BF11" s="1"/>
  <c r="AQ12"/>
  <c r="AN46"/>
  <c r="AO46"/>
  <c r="AK46"/>
  <c r="AL46"/>
  <c r="AJ11"/>
  <c r="AI46"/>
  <c r="AH11"/>
  <c r="AG11"/>
  <c r="AG46"/>
  <c r="AF11"/>
  <c r="AF46"/>
  <c r="AE46"/>
  <c r="AD11"/>
  <c r="AD46"/>
  <c r="AC46"/>
  <c r="AB46"/>
  <c r="AA46"/>
  <c r="Z46"/>
  <c r="Y46"/>
  <c r="X46"/>
  <c r="W46"/>
  <c r="V46"/>
  <c r="U46"/>
  <c r="T46"/>
  <c r="S46"/>
  <c r="R46"/>
  <c r="Q46"/>
  <c r="P46"/>
  <c r="O46"/>
  <c r="N46"/>
  <c r="M46"/>
  <c r="L46"/>
  <c r="K46"/>
  <c r="J46"/>
  <c r="I46"/>
  <c r="H46"/>
  <c r="G46"/>
  <c r="F46"/>
  <c r="E46"/>
  <c r="D46"/>
  <c r="C46"/>
  <c r="BE45"/>
  <c r="BF43"/>
  <c r="CG42"/>
  <c r="CF42"/>
  <c r="CE42"/>
  <c r="CD42"/>
  <c r="CB42"/>
  <c r="CA42"/>
  <c r="BY42"/>
  <c r="BX42"/>
  <c r="BW9"/>
  <c r="BW10"/>
  <c r="BW11"/>
  <c r="BW12"/>
  <c r="BW13"/>
  <c r="BW14"/>
  <c r="BW20"/>
  <c r="BW23"/>
  <c r="BW24"/>
  <c r="BW25"/>
  <c r="BW26"/>
  <c r="BV9"/>
  <c r="BV10"/>
  <c r="BV11"/>
  <c r="BV12"/>
  <c r="BV13"/>
  <c r="BV14"/>
  <c r="BV16"/>
  <c r="BV17"/>
  <c r="BV18"/>
  <c r="BV19"/>
  <c r="BV20"/>
  <c r="BV22"/>
  <c r="BV23"/>
  <c r="BV24"/>
  <c r="BV25"/>
  <c r="BV26"/>
  <c r="BV27"/>
  <c r="BV28"/>
  <c r="BV29"/>
  <c r="BV30"/>
  <c r="BV31"/>
  <c r="BV32"/>
  <c r="BV33"/>
  <c r="BV34"/>
  <c r="BV35"/>
  <c r="BV36"/>
  <c r="BV37"/>
  <c r="BU42"/>
  <c r="BT42"/>
  <c r="BS9"/>
  <c r="BS10"/>
  <c r="BS11"/>
  <c r="BS12"/>
  <c r="BS13"/>
  <c r="BS14"/>
  <c r="BS16"/>
  <c r="BS17"/>
  <c r="BS18"/>
  <c r="BS20"/>
  <c r="BS22"/>
  <c r="BS23"/>
  <c r="BS24"/>
  <c r="BS25"/>
  <c r="BS26"/>
  <c r="BS27"/>
  <c r="BS28"/>
  <c r="BS29"/>
  <c r="BS30"/>
  <c r="BS31"/>
  <c r="BS32"/>
  <c r="BS33"/>
  <c r="BS34"/>
  <c r="BS35"/>
  <c r="BS36"/>
  <c r="BS37"/>
  <c r="BS38"/>
  <c r="BR42"/>
  <c r="BQ42"/>
  <c r="BP42"/>
  <c r="BO42"/>
  <c r="BN42"/>
  <c r="BM42"/>
  <c r="BL42"/>
  <c r="BK42"/>
  <c r="BJ42"/>
  <c r="BI42"/>
  <c r="BH42"/>
  <c r="BG9"/>
  <c r="BG10"/>
  <c r="BG11"/>
  <c r="AM11"/>
  <c r="AM12"/>
  <c r="AM13"/>
  <c r="AM14"/>
  <c r="AM15"/>
  <c r="AM16"/>
  <c r="AM17"/>
  <c r="AM18"/>
  <c r="AM19"/>
  <c r="AM20"/>
  <c r="AM22"/>
  <c r="AM23"/>
  <c r="AM24"/>
  <c r="AM25"/>
  <c r="AM26"/>
  <c r="AM27"/>
  <c r="AM29"/>
  <c r="AM30"/>
  <c r="AM31"/>
  <c r="AM32"/>
  <c r="AM33"/>
  <c r="AM34"/>
  <c r="AM35"/>
  <c r="AM36"/>
  <c r="AM37"/>
  <c r="AM38"/>
  <c r="AP11"/>
  <c r="AP12"/>
  <c r="AP13"/>
  <c r="AP14"/>
  <c r="AP15"/>
  <c r="AP16"/>
  <c r="AP17"/>
  <c r="AP18"/>
  <c r="AP19"/>
  <c r="AP20"/>
  <c r="AP22"/>
  <c r="AP23"/>
  <c r="AP24"/>
  <c r="AP25"/>
  <c r="AP26"/>
  <c r="AP27"/>
  <c r="AP28"/>
  <c r="AP29"/>
  <c r="AP30"/>
  <c r="AP31"/>
  <c r="AP32"/>
  <c r="AP33"/>
  <c r="AP34"/>
  <c r="AP35"/>
  <c r="AP36"/>
  <c r="AP37"/>
  <c r="AP38"/>
  <c r="BC42"/>
  <c r="BB42"/>
  <c r="BD42"/>
  <c r="AZ42"/>
  <c r="AY42"/>
  <c r="AX42"/>
  <c r="AW42"/>
  <c r="AV42"/>
  <c r="AU42"/>
  <c r="AT42"/>
  <c r="AR11"/>
  <c r="AR42"/>
  <c r="AL42"/>
  <c r="AK42"/>
  <c r="AE42"/>
  <c r="AD42"/>
  <c r="V42"/>
  <c r="AB42"/>
  <c r="AA42"/>
  <c r="Z42"/>
  <c r="Y42"/>
  <c r="X42"/>
  <c r="W42"/>
  <c r="T42"/>
  <c r="S42"/>
  <c r="R42"/>
  <c r="Q42"/>
  <c r="P42"/>
  <c r="O42"/>
  <c r="N42"/>
  <c r="M42"/>
  <c r="L42"/>
  <c r="K42"/>
  <c r="J42"/>
  <c r="I42"/>
  <c r="H42"/>
  <c r="G42"/>
  <c r="F42"/>
  <c r="E42"/>
  <c r="D42"/>
  <c r="C42"/>
  <c r="BV40"/>
  <c r="BS40"/>
  <c r="BG40"/>
  <c r="BF40"/>
  <c r="BE40"/>
  <c r="AP40"/>
  <c r="AM40"/>
  <c r="BV39"/>
  <c r="BS39"/>
  <c r="BG39"/>
  <c r="BF39"/>
  <c r="AP39"/>
  <c r="AM39"/>
  <c r="BE11"/>
  <c r="BF10"/>
  <c r="BF9"/>
  <c r="BW8"/>
  <c r="BV8"/>
  <c r="BS8"/>
  <c r="BG8"/>
  <c r="BF8"/>
  <c r="BW7"/>
  <c r="BV7"/>
  <c r="BS7"/>
  <c r="BG7"/>
  <c r="BF7"/>
  <c r="BW6"/>
  <c r="BV6"/>
  <c r="BS6"/>
  <c r="BG6"/>
  <c r="BF6"/>
  <c r="AC22" i="13"/>
  <c r="AC23"/>
  <c r="AC21"/>
  <c r="BW19"/>
  <c r="BV19"/>
  <c r="BS19"/>
  <c r="BG19"/>
  <c r="BE19"/>
  <c r="AR19"/>
  <c r="AQ19"/>
  <c r="BF19"/>
  <c r="AP19"/>
  <c r="AM19"/>
  <c r="AJ19"/>
  <c r="AI19"/>
  <c r="AH19"/>
  <c r="AG19"/>
  <c r="AF19"/>
  <c r="AD19"/>
  <c r="AC19"/>
  <c r="AM17"/>
  <c r="AF12"/>
  <c r="AM9"/>
  <c r="C45"/>
  <c r="CE41"/>
  <c r="CF41"/>
  <c r="CG41"/>
  <c r="CD41"/>
  <c r="CA41"/>
  <c r="CB41"/>
  <c r="BX41"/>
  <c r="BY41"/>
  <c r="BT41"/>
  <c r="BU41"/>
  <c r="BO41"/>
  <c r="BP41"/>
  <c r="BQ41"/>
  <c r="BR41"/>
  <c r="BN41"/>
  <c r="BK41"/>
  <c r="BL41"/>
  <c r="BM41"/>
  <c r="BJ41"/>
  <c r="BI41"/>
  <c r="BH41"/>
  <c r="BB41"/>
  <c r="BC41"/>
  <c r="BD41"/>
  <c r="AZ41"/>
  <c r="AU41"/>
  <c r="AV41"/>
  <c r="AW41"/>
  <c r="AX41"/>
  <c r="AY41"/>
  <c r="AT41"/>
  <c r="AO41"/>
  <c r="AN41"/>
  <c r="AL41"/>
  <c r="AK41"/>
  <c r="AE41"/>
  <c r="AB41"/>
  <c r="Z41"/>
  <c r="X41"/>
  <c r="Y41"/>
  <c r="AA41"/>
  <c r="W41"/>
  <c r="S41"/>
  <c r="T41"/>
  <c r="U41"/>
  <c r="V41"/>
  <c r="R41"/>
  <c r="Q41"/>
  <c r="P41"/>
  <c r="O41"/>
  <c r="N41"/>
  <c r="M41"/>
  <c r="L41"/>
  <c r="K41"/>
  <c r="J41"/>
  <c r="I41"/>
  <c r="H41"/>
  <c r="E41"/>
  <c r="F41"/>
  <c r="G41"/>
  <c r="D41"/>
  <c r="C41"/>
  <c r="BW12"/>
  <c r="BV12"/>
  <c r="BS12"/>
  <c r="BG12"/>
  <c r="AR12"/>
  <c r="AQ12"/>
  <c r="BF12"/>
  <c r="AP12"/>
  <c r="AM12"/>
  <c r="AJ12"/>
  <c r="AI12"/>
  <c r="AH12"/>
  <c r="AG12"/>
  <c r="AD12"/>
  <c r="BW11"/>
  <c r="BV11"/>
  <c r="BS11"/>
  <c r="BG11"/>
  <c r="BE11"/>
  <c r="AR11"/>
  <c r="AQ11"/>
  <c r="BF11"/>
  <c r="AP11"/>
  <c r="AM11"/>
  <c r="AJ11"/>
  <c r="AI11"/>
  <c r="AH11"/>
  <c r="AG11"/>
  <c r="AF11"/>
  <c r="AD11"/>
  <c r="BW10"/>
  <c r="BV10"/>
  <c r="BS10"/>
  <c r="BG10"/>
  <c r="BE10"/>
  <c r="AR10"/>
  <c r="AQ10"/>
  <c r="BF10"/>
  <c r="AP10"/>
  <c r="AM10"/>
  <c r="AJ10"/>
  <c r="AI10"/>
  <c r="AH10"/>
  <c r="AG10"/>
  <c r="AF10"/>
  <c r="AD10"/>
  <c r="BW9"/>
  <c r="BV9"/>
  <c r="BS9"/>
  <c r="BG9"/>
  <c r="BE9"/>
  <c r="AR9"/>
  <c r="AQ9"/>
  <c r="BF9"/>
  <c r="AP9"/>
  <c r="AJ9"/>
  <c r="AI9"/>
  <c r="AH9"/>
  <c r="AG9"/>
  <c r="AF9"/>
  <c r="AD9"/>
  <c r="AC9"/>
  <c r="BW8"/>
  <c r="BV8"/>
  <c r="BS8"/>
  <c r="BG8"/>
  <c r="BE8"/>
  <c r="AR8"/>
  <c r="AQ8"/>
  <c r="BF8"/>
  <c r="AP8"/>
  <c r="AM8"/>
  <c r="AJ8"/>
  <c r="AI8"/>
  <c r="AH8"/>
  <c r="AG8"/>
  <c r="AF8"/>
  <c r="AD8"/>
  <c r="AC8"/>
  <c r="BW7"/>
  <c r="BV7"/>
  <c r="BS7"/>
  <c r="BG7"/>
  <c r="BE7"/>
  <c r="AR7"/>
  <c r="AQ7"/>
  <c r="BF7"/>
  <c r="AP7"/>
  <c r="AM7"/>
  <c r="AJ7"/>
  <c r="AI7"/>
  <c r="AH7"/>
  <c r="AG7"/>
  <c r="AF7"/>
  <c r="AD7"/>
  <c r="BW6"/>
  <c r="BV6"/>
  <c r="BS6"/>
  <c r="BG6"/>
  <c r="BE6"/>
  <c r="AR6"/>
  <c r="AQ6"/>
  <c r="BF6"/>
  <c r="AP6"/>
  <c r="AM6"/>
  <c r="AJ6"/>
  <c r="AI6"/>
  <c r="AH6"/>
  <c r="AG6"/>
  <c r="AF6"/>
  <c r="AD6"/>
  <c r="AC6"/>
  <c r="AC41"/>
  <c r="O105"/>
  <c r="P105"/>
  <c r="Q105"/>
  <c r="K103"/>
  <c r="L102"/>
  <c r="L103"/>
  <c r="M103"/>
  <c r="R102"/>
  <c r="R103"/>
  <c r="K102"/>
  <c r="L101"/>
  <c r="AU57"/>
  <c r="AU56"/>
  <c r="AX55"/>
  <c r="AO49"/>
  <c r="AN49"/>
  <c r="AL49"/>
  <c r="AK49"/>
  <c r="AM49"/>
  <c r="AE49"/>
  <c r="AB49"/>
  <c r="AA49"/>
  <c r="Z49"/>
  <c r="Y49"/>
  <c r="X49"/>
  <c r="W49"/>
  <c r="V49"/>
  <c r="U49"/>
  <c r="T49"/>
  <c r="S49"/>
  <c r="R49"/>
  <c r="Q49"/>
  <c r="P49"/>
  <c r="O49"/>
  <c r="N49"/>
  <c r="M49"/>
  <c r="L49"/>
  <c r="K49"/>
  <c r="J49"/>
  <c r="I49"/>
  <c r="H49"/>
  <c r="G49"/>
  <c r="F49"/>
  <c r="E49"/>
  <c r="D49"/>
  <c r="C49"/>
  <c r="AO48"/>
  <c r="AN48"/>
  <c r="AP48"/>
  <c r="AL48"/>
  <c r="AK48"/>
  <c r="AE48"/>
  <c r="AB48"/>
  <c r="AA48"/>
  <c r="Z48"/>
  <c r="Y48"/>
  <c r="X48"/>
  <c r="W48"/>
  <c r="V48"/>
  <c r="U48"/>
  <c r="T48"/>
  <c r="S48"/>
  <c r="R48"/>
  <c r="Q48"/>
  <c r="P48"/>
  <c r="O48"/>
  <c r="N48"/>
  <c r="M48"/>
  <c r="L48"/>
  <c r="K48"/>
  <c r="J48"/>
  <c r="I48"/>
  <c r="H48"/>
  <c r="G48"/>
  <c r="F48"/>
  <c r="E48"/>
  <c r="D48"/>
  <c r="C48"/>
  <c r="AX47"/>
  <c r="AO47"/>
  <c r="AN47"/>
  <c r="AL47"/>
  <c r="AK47"/>
  <c r="AE47"/>
  <c r="AB47"/>
  <c r="AA47"/>
  <c r="Z47"/>
  <c r="Y47"/>
  <c r="X47"/>
  <c r="W47"/>
  <c r="V47"/>
  <c r="U47"/>
  <c r="T47"/>
  <c r="S47"/>
  <c r="R47"/>
  <c r="Q47"/>
  <c r="P47"/>
  <c r="O47"/>
  <c r="N47"/>
  <c r="M47"/>
  <c r="L47"/>
  <c r="K47"/>
  <c r="J47"/>
  <c r="I47"/>
  <c r="H47"/>
  <c r="G47"/>
  <c r="F47"/>
  <c r="E47"/>
  <c r="D47"/>
  <c r="C47"/>
  <c r="AX46"/>
  <c r="AO46"/>
  <c r="AN46"/>
  <c r="AL46"/>
  <c r="AK46"/>
  <c r="AE46"/>
  <c r="AB46"/>
  <c r="AA46"/>
  <c r="Z46"/>
  <c r="Y46"/>
  <c r="X46"/>
  <c r="W46"/>
  <c r="V46"/>
  <c r="U46"/>
  <c r="T46"/>
  <c r="S46"/>
  <c r="R46"/>
  <c r="Q46"/>
  <c r="P46"/>
  <c r="O46"/>
  <c r="N46"/>
  <c r="M46"/>
  <c r="L46"/>
  <c r="K46"/>
  <c r="J46"/>
  <c r="I46"/>
  <c r="H46"/>
  <c r="G46"/>
  <c r="F46"/>
  <c r="E46"/>
  <c r="D46"/>
  <c r="C46"/>
  <c r="AO45"/>
  <c r="AN45"/>
  <c r="AL45"/>
  <c r="AK45"/>
  <c r="AE45"/>
  <c r="AC45"/>
  <c r="AB45"/>
  <c r="AA45"/>
  <c r="Z45"/>
  <c r="Y45"/>
  <c r="X45"/>
  <c r="W45"/>
  <c r="V45"/>
  <c r="U45"/>
  <c r="T45"/>
  <c r="S45"/>
  <c r="R45"/>
  <c r="Q45"/>
  <c r="P45"/>
  <c r="O45"/>
  <c r="N45"/>
  <c r="M45"/>
  <c r="L45"/>
  <c r="K45"/>
  <c r="J45"/>
  <c r="I45"/>
  <c r="H45"/>
  <c r="G45"/>
  <c r="F45"/>
  <c r="E45"/>
  <c r="D45"/>
  <c r="BF42"/>
  <c r="BE41"/>
  <c r="BW40"/>
  <c r="BV40"/>
  <c r="BS40"/>
  <c r="BG40"/>
  <c r="BE40"/>
  <c r="AR40"/>
  <c r="AQ40"/>
  <c r="BF40"/>
  <c r="AP40"/>
  <c r="AM40"/>
  <c r="AJ40"/>
  <c r="AI40"/>
  <c r="AH40"/>
  <c r="AG40"/>
  <c r="AF40"/>
  <c r="AD40"/>
  <c r="AC40"/>
  <c r="BW39"/>
  <c r="BV39"/>
  <c r="BS39"/>
  <c r="BG39"/>
  <c r="BE39"/>
  <c r="AR39"/>
  <c r="AQ39"/>
  <c r="BF39"/>
  <c r="AP39"/>
  <c r="AM39"/>
  <c r="AJ39"/>
  <c r="AI39"/>
  <c r="AH39"/>
  <c r="AG39"/>
  <c r="AF39"/>
  <c r="AD39"/>
  <c r="AC39"/>
  <c r="BV38"/>
  <c r="BS38"/>
  <c r="BG38"/>
  <c r="AR38"/>
  <c r="AQ38"/>
  <c r="BF38"/>
  <c r="AP38"/>
  <c r="AM38"/>
  <c r="AJ38"/>
  <c r="AI38"/>
  <c r="AH38"/>
  <c r="AG38"/>
  <c r="AF38"/>
  <c r="AD38"/>
  <c r="AC38"/>
  <c r="BW37"/>
  <c r="BV37"/>
  <c r="BS37"/>
  <c r="BG37"/>
  <c r="AR37"/>
  <c r="AQ37"/>
  <c r="BF37"/>
  <c r="AP37"/>
  <c r="AM37"/>
  <c r="AJ37"/>
  <c r="AI37"/>
  <c r="AH37"/>
  <c r="AG37"/>
  <c r="AF37"/>
  <c r="AD37"/>
  <c r="AC37"/>
  <c r="BW36"/>
  <c r="BV36"/>
  <c r="BS36"/>
  <c r="BG36"/>
  <c r="AR36"/>
  <c r="AQ36"/>
  <c r="BF36"/>
  <c r="AP36"/>
  <c r="AM36"/>
  <c r="AJ36"/>
  <c r="AI36"/>
  <c r="AH36"/>
  <c r="AG36"/>
  <c r="AF36"/>
  <c r="AD36"/>
  <c r="AC36"/>
  <c r="BW35"/>
  <c r="BV35"/>
  <c r="BS35"/>
  <c r="BG35"/>
  <c r="BE35"/>
  <c r="AR35"/>
  <c r="AQ35"/>
  <c r="BF35"/>
  <c r="AP35"/>
  <c r="AM35"/>
  <c r="AJ35"/>
  <c r="AI35"/>
  <c r="AH35"/>
  <c r="AG35"/>
  <c r="AF35"/>
  <c r="AD35"/>
  <c r="BV34"/>
  <c r="BS34"/>
  <c r="BG34"/>
  <c r="BE34"/>
  <c r="AR34"/>
  <c r="AQ34"/>
  <c r="AP34"/>
  <c r="AM34"/>
  <c r="AJ34"/>
  <c r="AI34"/>
  <c r="AH34"/>
  <c r="AG34"/>
  <c r="AF34"/>
  <c r="AD34"/>
  <c r="AD49"/>
  <c r="AC49"/>
  <c r="BW33"/>
  <c r="BV33"/>
  <c r="BS33"/>
  <c r="BG33"/>
  <c r="BE33"/>
  <c r="AR33"/>
  <c r="AQ33"/>
  <c r="BF33"/>
  <c r="AP33"/>
  <c r="AM33"/>
  <c r="AJ33"/>
  <c r="AI33"/>
  <c r="AH33"/>
  <c r="AG33"/>
  <c r="AF33"/>
  <c r="AD33"/>
  <c r="AC33"/>
  <c r="BW32"/>
  <c r="BV32"/>
  <c r="BS32"/>
  <c r="BG32"/>
  <c r="AR32"/>
  <c r="AQ32"/>
  <c r="BF32"/>
  <c r="AP32"/>
  <c r="AM32"/>
  <c r="AJ32"/>
  <c r="AI32"/>
  <c r="AH32"/>
  <c r="AG32"/>
  <c r="AF32"/>
  <c r="AD32"/>
  <c r="BW31"/>
  <c r="BV31"/>
  <c r="BS31"/>
  <c r="BG31"/>
  <c r="BE31"/>
  <c r="AR31"/>
  <c r="AQ31"/>
  <c r="BF31"/>
  <c r="AP31"/>
  <c r="AM31"/>
  <c r="AJ31"/>
  <c r="AI31"/>
  <c r="AH31"/>
  <c r="AG31"/>
  <c r="AF31"/>
  <c r="AD31"/>
  <c r="AC31"/>
  <c r="BW30"/>
  <c r="BV30"/>
  <c r="BS30"/>
  <c r="BG30"/>
  <c r="AR30"/>
  <c r="AQ30"/>
  <c r="BF30"/>
  <c r="AP30"/>
  <c r="AM30"/>
  <c r="AJ30"/>
  <c r="AI30"/>
  <c r="AH30"/>
  <c r="AG30"/>
  <c r="AF30"/>
  <c r="AD30"/>
  <c r="AC30"/>
  <c r="BW29"/>
  <c r="BV29"/>
  <c r="BS29"/>
  <c r="BG29"/>
  <c r="AR29"/>
  <c r="AQ29"/>
  <c r="BF29"/>
  <c r="AP29"/>
  <c r="AM29"/>
  <c r="AI29"/>
  <c r="AH29"/>
  <c r="AG29"/>
  <c r="AF29"/>
  <c r="AD29"/>
  <c r="AC29"/>
  <c r="BW28"/>
  <c r="BV28"/>
  <c r="BS28"/>
  <c r="BG28"/>
  <c r="BE28"/>
  <c r="AR28"/>
  <c r="AQ28"/>
  <c r="BF28"/>
  <c r="AP28"/>
  <c r="AJ28"/>
  <c r="AI28"/>
  <c r="AI49"/>
  <c r="AH28"/>
  <c r="AG28"/>
  <c r="AF28"/>
  <c r="AD28"/>
  <c r="AC28"/>
  <c r="BV27"/>
  <c r="BS27"/>
  <c r="BG27"/>
  <c r="AR27"/>
  <c r="AQ27"/>
  <c r="AP27"/>
  <c r="AM27"/>
  <c r="AJ27"/>
  <c r="AI27"/>
  <c r="AI48"/>
  <c r="AH27"/>
  <c r="AG27"/>
  <c r="AF27"/>
  <c r="AD27"/>
  <c r="AD48"/>
  <c r="AC27"/>
  <c r="BW26"/>
  <c r="BV26"/>
  <c r="BS26"/>
  <c r="BG26"/>
  <c r="AR26"/>
  <c r="AQ26"/>
  <c r="AP26"/>
  <c r="AM26"/>
  <c r="AJ26"/>
  <c r="AI26"/>
  <c r="AH26"/>
  <c r="AG26"/>
  <c r="AF26"/>
  <c r="AD26"/>
  <c r="BW25"/>
  <c r="BV25"/>
  <c r="BS25"/>
  <c r="BG25"/>
  <c r="AR25"/>
  <c r="AQ25"/>
  <c r="BF25"/>
  <c r="AP25"/>
  <c r="AM25"/>
  <c r="AJ25"/>
  <c r="AI25"/>
  <c r="AH25"/>
  <c r="AG25"/>
  <c r="AF25"/>
  <c r="AD25"/>
  <c r="AC25"/>
  <c r="BW24"/>
  <c r="BV24"/>
  <c r="BS24"/>
  <c r="BG24"/>
  <c r="AR24"/>
  <c r="AQ24"/>
  <c r="BF24"/>
  <c r="AP24"/>
  <c r="AM24"/>
  <c r="AJ24"/>
  <c r="AI24"/>
  <c r="AH24"/>
  <c r="AG24"/>
  <c r="AF24"/>
  <c r="AD24"/>
  <c r="AC24"/>
  <c r="BW23"/>
  <c r="BV23"/>
  <c r="BS23"/>
  <c r="BG23"/>
  <c r="AR23"/>
  <c r="AQ23"/>
  <c r="BF23"/>
  <c r="AP23"/>
  <c r="AM23"/>
  <c r="AJ23"/>
  <c r="AI23"/>
  <c r="AH23"/>
  <c r="AG23"/>
  <c r="AF23"/>
  <c r="AD23"/>
  <c r="BW22"/>
  <c r="BV22"/>
  <c r="BS22"/>
  <c r="BG22"/>
  <c r="AR22"/>
  <c r="AQ22"/>
  <c r="BF22"/>
  <c r="AP22"/>
  <c r="AM22"/>
  <c r="AJ22"/>
  <c r="AI22"/>
  <c r="AH22"/>
  <c r="AG22"/>
  <c r="AF22"/>
  <c r="AD22"/>
  <c r="BW20"/>
  <c r="BV20"/>
  <c r="BS20"/>
  <c r="BG20"/>
  <c r="BE20"/>
  <c r="AR20"/>
  <c r="AQ20"/>
  <c r="AP20"/>
  <c r="AM20"/>
  <c r="AJ20"/>
  <c r="AI20"/>
  <c r="AI47"/>
  <c r="AH20"/>
  <c r="AG20"/>
  <c r="AF20"/>
  <c r="AD20"/>
  <c r="AD47"/>
  <c r="AC20"/>
  <c r="BW18"/>
  <c r="BV18"/>
  <c r="BS18"/>
  <c r="BG18"/>
  <c r="BE18"/>
  <c r="AR18"/>
  <c r="AQ18"/>
  <c r="BF18"/>
  <c r="AP18"/>
  <c r="AM18"/>
  <c r="AJ18"/>
  <c r="AI18"/>
  <c r="AH18"/>
  <c r="AG18"/>
  <c r="AF18"/>
  <c r="AD18"/>
  <c r="AC18"/>
  <c r="BW17"/>
  <c r="BV17"/>
  <c r="BS17"/>
  <c r="BG17"/>
  <c r="BE17"/>
  <c r="AR17"/>
  <c r="AQ17"/>
  <c r="BF17"/>
  <c r="AP17"/>
  <c r="AJ17"/>
  <c r="AI17"/>
  <c r="AH17"/>
  <c r="AG17"/>
  <c r="AF17"/>
  <c r="AD17"/>
  <c r="AC17"/>
  <c r="BW16"/>
  <c r="BV16"/>
  <c r="BS16"/>
  <c r="BG16"/>
  <c r="AR16"/>
  <c r="AQ16"/>
  <c r="BF16"/>
  <c r="AP16"/>
  <c r="AM16"/>
  <c r="AJ16"/>
  <c r="AI16"/>
  <c r="AH16"/>
  <c r="AG16"/>
  <c r="AF16"/>
  <c r="AD16"/>
  <c r="AC16"/>
  <c r="BG15"/>
  <c r="AR15"/>
  <c r="AQ15"/>
  <c r="BF15"/>
  <c r="AP15"/>
  <c r="AM15"/>
  <c r="AJ15"/>
  <c r="AI15"/>
  <c r="AH15"/>
  <c r="AG15"/>
  <c r="AF15"/>
  <c r="AD15"/>
  <c r="AC15"/>
  <c r="BW14"/>
  <c r="BV14"/>
  <c r="BS14"/>
  <c r="BG14"/>
  <c r="AR14"/>
  <c r="AQ14"/>
  <c r="BF14"/>
  <c r="AP14"/>
  <c r="AM14"/>
  <c r="AJ14"/>
  <c r="AI14"/>
  <c r="AH14"/>
  <c r="AG14"/>
  <c r="AF14"/>
  <c r="AD14"/>
  <c r="AC14"/>
  <c r="BW13"/>
  <c r="BV13"/>
  <c r="BS13"/>
  <c r="BG13"/>
  <c r="BE13"/>
  <c r="AR13"/>
  <c r="AQ13"/>
  <c r="AP13"/>
  <c r="AM13"/>
  <c r="AJ13"/>
  <c r="AI13"/>
  <c r="AI46"/>
  <c r="AH13"/>
  <c r="AG13"/>
  <c r="AF13"/>
  <c r="AD13"/>
  <c r="AI45"/>
  <c r="AQ45"/>
  <c r="AJ45"/>
  <c r="AH45"/>
  <c r="AF45"/>
  <c r="AJ6" i="11"/>
  <c r="AF49" i="13"/>
  <c r="AJ49"/>
  <c r="AH49"/>
  <c r="BE44"/>
  <c r="AJ48"/>
  <c r="AC48"/>
  <c r="AM48"/>
  <c r="AC47"/>
  <c r="AM47"/>
  <c r="BG41"/>
  <c r="AP41"/>
  <c r="AC46"/>
  <c r="AH41"/>
  <c r="AP46"/>
  <c r="AI41"/>
  <c r="AM45"/>
  <c r="M101"/>
  <c r="N101"/>
  <c r="AG41"/>
  <c r="AP49"/>
  <c r="BW41"/>
  <c r="AF41"/>
  <c r="BV41"/>
  <c r="AD46"/>
  <c r="AD41"/>
  <c r="AM41"/>
  <c r="AJ41"/>
  <c r="AR41"/>
  <c r="AQ46"/>
  <c r="BS41"/>
  <c r="AP47"/>
  <c r="AQ49"/>
  <c r="AM46"/>
  <c r="AQ47"/>
  <c r="AF46"/>
  <c r="AF48"/>
  <c r="AF47"/>
  <c r="AH46"/>
  <c r="BF13"/>
  <c r="AH47"/>
  <c r="AQ48"/>
  <c r="AG46"/>
  <c r="AG47"/>
  <c r="AH48"/>
  <c r="AJ46"/>
  <c r="AJ47"/>
  <c r="AG48"/>
  <c r="AG49"/>
  <c r="AP45"/>
  <c r="BF20"/>
  <c r="AD45"/>
  <c r="AG45"/>
  <c r="M102"/>
  <c r="N102"/>
  <c r="BF34"/>
  <c r="AY41" i="11"/>
  <c r="CB41"/>
  <c r="BY41"/>
  <c r="CA41"/>
  <c r="AI35"/>
  <c r="BW45"/>
  <c r="BV46"/>
  <c r="BV45"/>
  <c r="R104"/>
  <c r="R103"/>
  <c r="Q106"/>
  <c r="P106"/>
  <c r="O106"/>
  <c r="L102"/>
  <c r="K104"/>
  <c r="K103"/>
  <c r="L103"/>
  <c r="AX55"/>
  <c r="AU57"/>
  <c r="AU56"/>
  <c r="AQ41" i="13"/>
  <c r="BF41"/>
  <c r="M103" i="11"/>
  <c r="N103"/>
  <c r="L104"/>
  <c r="M104"/>
  <c r="M102"/>
  <c r="N102"/>
  <c r="AR38"/>
  <c r="AR39"/>
  <c r="AR40"/>
  <c r="AC34"/>
  <c r="AD34"/>
  <c r="AF34"/>
  <c r="AG34"/>
  <c r="AH34"/>
  <c r="AI34"/>
  <c r="AJ34"/>
  <c r="AM34"/>
  <c r="AP34"/>
  <c r="AQ34"/>
  <c r="BF34"/>
  <c r="AR34"/>
  <c r="BE34"/>
  <c r="BG34"/>
  <c r="BS34"/>
  <c r="BV34"/>
  <c r="BW34"/>
  <c r="E45"/>
  <c r="E46"/>
  <c r="E47"/>
  <c r="E48"/>
  <c r="E49"/>
  <c r="AQ17"/>
  <c r="AQ18"/>
  <c r="AQ19"/>
  <c r="AI38" i="10"/>
  <c r="AI39"/>
  <c r="AG6" i="11"/>
  <c r="BE6"/>
  <c r="AO49"/>
  <c r="AN49"/>
  <c r="AL49"/>
  <c r="AK49"/>
  <c r="AE49"/>
  <c r="AB49"/>
  <c r="AA49"/>
  <c r="Z49"/>
  <c r="Y49"/>
  <c r="X49"/>
  <c r="W49"/>
  <c r="V49"/>
  <c r="U49"/>
  <c r="T49"/>
  <c r="S49"/>
  <c r="R49"/>
  <c r="Q49"/>
  <c r="P49"/>
  <c r="O49"/>
  <c r="N49"/>
  <c r="M49"/>
  <c r="L49"/>
  <c r="K49"/>
  <c r="J49"/>
  <c r="I49"/>
  <c r="H49"/>
  <c r="G49"/>
  <c r="F49"/>
  <c r="D49"/>
  <c r="C49"/>
  <c r="AO48"/>
  <c r="AN48"/>
  <c r="AL48"/>
  <c r="AK48"/>
  <c r="AE48"/>
  <c r="AB48"/>
  <c r="AA48"/>
  <c r="Z48"/>
  <c r="Y48"/>
  <c r="X48"/>
  <c r="W48"/>
  <c r="V48"/>
  <c r="U48"/>
  <c r="T48"/>
  <c r="S48"/>
  <c r="R48"/>
  <c r="Q48"/>
  <c r="P48"/>
  <c r="O48"/>
  <c r="N48"/>
  <c r="M48"/>
  <c r="L48"/>
  <c r="K48"/>
  <c r="J48"/>
  <c r="I48"/>
  <c r="H48"/>
  <c r="G48"/>
  <c r="F48"/>
  <c r="D48"/>
  <c r="C48"/>
  <c r="AX47"/>
  <c r="AO47"/>
  <c r="AN47"/>
  <c r="AL47"/>
  <c r="AK47"/>
  <c r="AE47"/>
  <c r="AB47"/>
  <c r="AA47"/>
  <c r="Z47"/>
  <c r="Y47"/>
  <c r="X47"/>
  <c r="W47"/>
  <c r="V47"/>
  <c r="U47"/>
  <c r="T47"/>
  <c r="S47"/>
  <c r="R47"/>
  <c r="Q47"/>
  <c r="P47"/>
  <c r="O47"/>
  <c r="N47"/>
  <c r="M47"/>
  <c r="L47"/>
  <c r="K47"/>
  <c r="J47"/>
  <c r="I47"/>
  <c r="H47"/>
  <c r="G47"/>
  <c r="F47"/>
  <c r="D47"/>
  <c r="C47"/>
  <c r="AX46"/>
  <c r="AO46"/>
  <c r="AN46"/>
  <c r="AL46"/>
  <c r="AK46"/>
  <c r="AE46"/>
  <c r="AB46"/>
  <c r="AA46"/>
  <c r="Z46"/>
  <c r="Y46"/>
  <c r="X46"/>
  <c r="W46"/>
  <c r="V46"/>
  <c r="U46"/>
  <c r="T46"/>
  <c r="S46"/>
  <c r="R46"/>
  <c r="Q46"/>
  <c r="P46"/>
  <c r="O46"/>
  <c r="N46"/>
  <c r="M46"/>
  <c r="L46"/>
  <c r="K46"/>
  <c r="J46"/>
  <c r="I46"/>
  <c r="H46"/>
  <c r="G46"/>
  <c r="F46"/>
  <c r="D46"/>
  <c r="C46"/>
  <c r="AO45"/>
  <c r="AN45"/>
  <c r="AL45"/>
  <c r="AK45"/>
  <c r="AE45"/>
  <c r="AC45"/>
  <c r="AB45"/>
  <c r="AA45"/>
  <c r="Z45"/>
  <c r="Y45"/>
  <c r="X45"/>
  <c r="W45"/>
  <c r="V45"/>
  <c r="U45"/>
  <c r="T45"/>
  <c r="S45"/>
  <c r="R45"/>
  <c r="Q45"/>
  <c r="P45"/>
  <c r="O45"/>
  <c r="N45"/>
  <c r="M45"/>
  <c r="L45"/>
  <c r="K45"/>
  <c r="J45"/>
  <c r="I45"/>
  <c r="H45"/>
  <c r="G45"/>
  <c r="F45"/>
  <c r="D45"/>
  <c r="C45"/>
  <c r="BF42"/>
  <c r="BX41"/>
  <c r="BU41"/>
  <c r="BT41"/>
  <c r="BR41"/>
  <c r="BQ41"/>
  <c r="BP41"/>
  <c r="BO41"/>
  <c r="BN41"/>
  <c r="BM41"/>
  <c r="BL41"/>
  <c r="BK41"/>
  <c r="BJ41"/>
  <c r="BI41"/>
  <c r="BH41"/>
  <c r="BD41"/>
  <c r="BC41"/>
  <c r="BB41"/>
  <c r="AZ41"/>
  <c r="AX41"/>
  <c r="AW41"/>
  <c r="AV41"/>
  <c r="AU41"/>
  <c r="AT41"/>
  <c r="AO41"/>
  <c r="AN41"/>
  <c r="AL41"/>
  <c r="AK41"/>
  <c r="AE41"/>
  <c r="AB41"/>
  <c r="AA41"/>
  <c r="Z41"/>
  <c r="Y41"/>
  <c r="X41"/>
  <c r="W41"/>
  <c r="V41"/>
  <c r="T41"/>
  <c r="S41"/>
  <c r="R41"/>
  <c r="AH41"/>
  <c r="Q41"/>
  <c r="P41"/>
  <c r="O41"/>
  <c r="N41"/>
  <c r="M41"/>
  <c r="L41"/>
  <c r="K41"/>
  <c r="J41"/>
  <c r="I41"/>
  <c r="H41"/>
  <c r="G41"/>
  <c r="F41"/>
  <c r="E41"/>
  <c r="D41"/>
  <c r="C41"/>
  <c r="BW40"/>
  <c r="BV40"/>
  <c r="BS40"/>
  <c r="BG40"/>
  <c r="BE40"/>
  <c r="AQ40"/>
  <c r="BF40"/>
  <c r="AP40"/>
  <c r="AM40"/>
  <c r="AJ40"/>
  <c r="AI40"/>
  <c r="AH40"/>
  <c r="AG40"/>
  <c r="AF40"/>
  <c r="AD40"/>
  <c r="AC40"/>
  <c r="BW39"/>
  <c r="BV39"/>
  <c r="BS39"/>
  <c r="BG39"/>
  <c r="BE39"/>
  <c r="AQ39"/>
  <c r="BF39"/>
  <c r="AP39"/>
  <c r="AM39"/>
  <c r="AJ39"/>
  <c r="AI39"/>
  <c r="AH39"/>
  <c r="AG39"/>
  <c r="AF39"/>
  <c r="AD39"/>
  <c r="AC39"/>
  <c r="BW38"/>
  <c r="BV38"/>
  <c r="BS38"/>
  <c r="BG38"/>
  <c r="BE38"/>
  <c r="AQ38"/>
  <c r="BF38"/>
  <c r="AP38"/>
  <c r="AM38"/>
  <c r="AJ38"/>
  <c r="AI38"/>
  <c r="AH38"/>
  <c r="AG38"/>
  <c r="AF38"/>
  <c r="AD38"/>
  <c r="AC38"/>
  <c r="BW37"/>
  <c r="BV37"/>
  <c r="BS37"/>
  <c r="BG37"/>
  <c r="BE37"/>
  <c r="AR37"/>
  <c r="AQ37"/>
  <c r="BF37"/>
  <c r="AP37"/>
  <c r="AM37"/>
  <c r="AJ37"/>
  <c r="AI37"/>
  <c r="AH37"/>
  <c r="AG37"/>
  <c r="AF37"/>
  <c r="AD37"/>
  <c r="AC37"/>
  <c r="BW36"/>
  <c r="BV36"/>
  <c r="BS36"/>
  <c r="BG36"/>
  <c r="BE36"/>
  <c r="AR36"/>
  <c r="AQ36"/>
  <c r="BF36"/>
  <c r="AP36"/>
  <c r="AM36"/>
  <c r="AJ36"/>
  <c r="AI36"/>
  <c r="AH36"/>
  <c r="AG36"/>
  <c r="AF36"/>
  <c r="AD36"/>
  <c r="AD49"/>
  <c r="AC36"/>
  <c r="BW35"/>
  <c r="BV35"/>
  <c r="BS35"/>
  <c r="BG35"/>
  <c r="BE35"/>
  <c r="AR35"/>
  <c r="AQ35"/>
  <c r="BF35"/>
  <c r="AP35"/>
  <c r="AM35"/>
  <c r="AJ35"/>
  <c r="AH35"/>
  <c r="AH49"/>
  <c r="AG35"/>
  <c r="AG49"/>
  <c r="AF35"/>
  <c r="AD35"/>
  <c r="BW33"/>
  <c r="BV33"/>
  <c r="BS33"/>
  <c r="BG33"/>
  <c r="BE33"/>
  <c r="AR33"/>
  <c r="AQ33"/>
  <c r="BF33"/>
  <c r="AP33"/>
  <c r="AM33"/>
  <c r="AJ33"/>
  <c r="AI33"/>
  <c r="AH33"/>
  <c r="AG33"/>
  <c r="AF33"/>
  <c r="AD33"/>
  <c r="AC33"/>
  <c r="BW32"/>
  <c r="BV32"/>
  <c r="BS32"/>
  <c r="BG32"/>
  <c r="BE32"/>
  <c r="AR32"/>
  <c r="AQ32"/>
  <c r="BF32"/>
  <c r="AP32"/>
  <c r="AM32"/>
  <c r="AJ32"/>
  <c r="AI32"/>
  <c r="AH32"/>
  <c r="AG32"/>
  <c r="AF32"/>
  <c r="AD32"/>
  <c r="AC32"/>
  <c r="BW31"/>
  <c r="BV31"/>
  <c r="BS31"/>
  <c r="BG31"/>
  <c r="BE31"/>
  <c r="AR31"/>
  <c r="AQ31"/>
  <c r="AP31"/>
  <c r="AM31"/>
  <c r="AJ31"/>
  <c r="AI31"/>
  <c r="AH31"/>
  <c r="AG31"/>
  <c r="AF31"/>
  <c r="AD31"/>
  <c r="AC31"/>
  <c r="BW30"/>
  <c r="BV30"/>
  <c r="BS30"/>
  <c r="BG30"/>
  <c r="BE30"/>
  <c r="AR30"/>
  <c r="AQ30"/>
  <c r="BF30"/>
  <c r="AP30"/>
  <c r="AM30"/>
  <c r="AJ30"/>
  <c r="AI30"/>
  <c r="AH30"/>
  <c r="AG30"/>
  <c r="AF30"/>
  <c r="AD30"/>
  <c r="AC30"/>
  <c r="BW29"/>
  <c r="BV29"/>
  <c r="BS29"/>
  <c r="BG29"/>
  <c r="BE29"/>
  <c r="AR29"/>
  <c r="AQ29"/>
  <c r="BF29"/>
  <c r="AP29"/>
  <c r="AM29"/>
  <c r="AJ29"/>
  <c r="AI29"/>
  <c r="AH29"/>
  <c r="AG29"/>
  <c r="AF29"/>
  <c r="AD29"/>
  <c r="AC29"/>
  <c r="BW28"/>
  <c r="BV28"/>
  <c r="BS28"/>
  <c r="BG28"/>
  <c r="BE28"/>
  <c r="AR28"/>
  <c r="AQ28"/>
  <c r="BF28"/>
  <c r="AP28"/>
  <c r="AM28"/>
  <c r="AJ28"/>
  <c r="AI28"/>
  <c r="AH28"/>
  <c r="AG28"/>
  <c r="AF28"/>
  <c r="AD28"/>
  <c r="AC28"/>
  <c r="BW27"/>
  <c r="BV27"/>
  <c r="BS27"/>
  <c r="BG27"/>
  <c r="BE27"/>
  <c r="AR27"/>
  <c r="AQ27"/>
  <c r="BF27"/>
  <c r="AP27"/>
  <c r="AM27"/>
  <c r="AJ27"/>
  <c r="AI27"/>
  <c r="AH27"/>
  <c r="AG27"/>
  <c r="AG48"/>
  <c r="AF27"/>
  <c r="AD27"/>
  <c r="AC27"/>
  <c r="BW26"/>
  <c r="BV26"/>
  <c r="BS26"/>
  <c r="BG26"/>
  <c r="BE26"/>
  <c r="AR26"/>
  <c r="AQ26"/>
  <c r="BF26"/>
  <c r="AP26"/>
  <c r="AM26"/>
  <c r="AJ26"/>
  <c r="AI26"/>
  <c r="AH26"/>
  <c r="AG26"/>
  <c r="AF26"/>
  <c r="AD26"/>
  <c r="AC26"/>
  <c r="BW25"/>
  <c r="BV25"/>
  <c r="BS25"/>
  <c r="BG25"/>
  <c r="BE25"/>
  <c r="AR25"/>
  <c r="AQ25"/>
  <c r="BF25"/>
  <c r="AP25"/>
  <c r="AM25"/>
  <c r="AJ25"/>
  <c r="AI25"/>
  <c r="AH25"/>
  <c r="AG25"/>
  <c r="AF25"/>
  <c r="AD25"/>
  <c r="AC25"/>
  <c r="BW24"/>
  <c r="BV24"/>
  <c r="BS24"/>
  <c r="BG24"/>
  <c r="BE24"/>
  <c r="AR24"/>
  <c r="AQ24"/>
  <c r="BF24"/>
  <c r="AP24"/>
  <c r="AM24"/>
  <c r="AJ24"/>
  <c r="AI24"/>
  <c r="AH24"/>
  <c r="AG24"/>
  <c r="AF24"/>
  <c r="AD24"/>
  <c r="AC24"/>
  <c r="BW23"/>
  <c r="BV23"/>
  <c r="BS23"/>
  <c r="BG23"/>
  <c r="BE23"/>
  <c r="AR23"/>
  <c r="AQ23"/>
  <c r="BF23"/>
  <c r="AP23"/>
  <c r="AM23"/>
  <c r="AJ23"/>
  <c r="AI23"/>
  <c r="AH23"/>
  <c r="AG23"/>
  <c r="AF23"/>
  <c r="AD23"/>
  <c r="AC23"/>
  <c r="BW22"/>
  <c r="BV22"/>
  <c r="BS22"/>
  <c r="BG22"/>
  <c r="BE22"/>
  <c r="AR22"/>
  <c r="AQ22"/>
  <c r="BF22"/>
  <c r="AP22"/>
  <c r="AM22"/>
  <c r="AJ22"/>
  <c r="AI22"/>
  <c r="AH22"/>
  <c r="AG22"/>
  <c r="AF22"/>
  <c r="AD22"/>
  <c r="AC22"/>
  <c r="BW21"/>
  <c r="BV21"/>
  <c r="BS21"/>
  <c r="BG21"/>
  <c r="BE21"/>
  <c r="AR21"/>
  <c r="AQ21"/>
  <c r="BF21"/>
  <c r="AP21"/>
  <c r="AM21"/>
  <c r="AJ21"/>
  <c r="AI21"/>
  <c r="AH21"/>
  <c r="AG21"/>
  <c r="AF21"/>
  <c r="AD21"/>
  <c r="AC21"/>
  <c r="BW20"/>
  <c r="BV20"/>
  <c r="BS20"/>
  <c r="BG20"/>
  <c r="BE20"/>
  <c r="AR20"/>
  <c r="AQ20"/>
  <c r="AP20"/>
  <c r="AM20"/>
  <c r="AJ20"/>
  <c r="AI20"/>
  <c r="AH20"/>
  <c r="AG20"/>
  <c r="AF20"/>
  <c r="AD20"/>
  <c r="AC20"/>
  <c r="AC47"/>
  <c r="BW19"/>
  <c r="BV19"/>
  <c r="BS19"/>
  <c r="BG19"/>
  <c r="BE19"/>
  <c r="AR19"/>
  <c r="BF19"/>
  <c r="AP19"/>
  <c r="AM19"/>
  <c r="AJ19"/>
  <c r="AI19"/>
  <c r="AH19"/>
  <c r="AG19"/>
  <c r="AF19"/>
  <c r="AD19"/>
  <c r="AC19"/>
  <c r="BW18"/>
  <c r="BV18"/>
  <c r="BS18"/>
  <c r="BG18"/>
  <c r="BE18"/>
  <c r="AR18"/>
  <c r="BF18"/>
  <c r="AP18"/>
  <c r="AM18"/>
  <c r="AJ18"/>
  <c r="AI18"/>
  <c r="AH18"/>
  <c r="AG18"/>
  <c r="AF18"/>
  <c r="AD18"/>
  <c r="AC18"/>
  <c r="BW17"/>
  <c r="BV17"/>
  <c r="BS17"/>
  <c r="BG17"/>
  <c r="BE17"/>
  <c r="AR17"/>
  <c r="BF17"/>
  <c r="AP17"/>
  <c r="AM17"/>
  <c r="AJ17"/>
  <c r="AI17"/>
  <c r="AH17"/>
  <c r="AG17"/>
  <c r="AF17"/>
  <c r="AD17"/>
  <c r="AC17"/>
  <c r="BW16"/>
  <c r="BV16"/>
  <c r="BS16"/>
  <c r="BG16"/>
  <c r="BE16"/>
  <c r="AR16"/>
  <c r="AQ16"/>
  <c r="BF16"/>
  <c r="AP16"/>
  <c r="AM16"/>
  <c r="AJ16"/>
  <c r="AI16"/>
  <c r="AH16"/>
  <c r="AG16"/>
  <c r="AF16"/>
  <c r="AD16"/>
  <c r="AC16"/>
  <c r="BW15"/>
  <c r="BV15"/>
  <c r="BS15"/>
  <c r="BG15"/>
  <c r="BE15"/>
  <c r="AR15"/>
  <c r="AQ15"/>
  <c r="BF15"/>
  <c r="AP15"/>
  <c r="AM15"/>
  <c r="AJ15"/>
  <c r="AI15"/>
  <c r="AH15"/>
  <c r="AG15"/>
  <c r="AF15"/>
  <c r="AD15"/>
  <c r="AC15"/>
  <c r="BW14"/>
  <c r="BV14"/>
  <c r="BS14"/>
  <c r="BG14"/>
  <c r="BE14"/>
  <c r="AR14"/>
  <c r="AQ14"/>
  <c r="BF14"/>
  <c r="AP14"/>
  <c r="AM14"/>
  <c r="AJ14"/>
  <c r="AI14"/>
  <c r="AH14"/>
  <c r="AG14"/>
  <c r="AF14"/>
  <c r="AD14"/>
  <c r="AC14"/>
  <c r="BW13"/>
  <c r="BV13"/>
  <c r="BS13"/>
  <c r="BG13"/>
  <c r="BE13"/>
  <c r="AR13"/>
  <c r="AQ13"/>
  <c r="AP13"/>
  <c r="AM13"/>
  <c r="AJ13"/>
  <c r="AI13"/>
  <c r="AI46"/>
  <c r="AH13"/>
  <c r="AG13"/>
  <c r="AF13"/>
  <c r="AD13"/>
  <c r="AD46"/>
  <c r="AC13"/>
  <c r="BW12"/>
  <c r="BV12"/>
  <c r="BS12"/>
  <c r="BG12"/>
  <c r="BG41"/>
  <c r="BE12"/>
  <c r="AR12"/>
  <c r="AQ12"/>
  <c r="BF12"/>
  <c r="AP12"/>
  <c r="AM12"/>
  <c r="AJ12"/>
  <c r="AI12"/>
  <c r="AH12"/>
  <c r="AG12"/>
  <c r="AF12"/>
  <c r="AD12"/>
  <c r="AC12"/>
  <c r="BW11"/>
  <c r="BV11"/>
  <c r="BS11"/>
  <c r="BG11"/>
  <c r="BE11"/>
  <c r="AR11"/>
  <c r="AQ11"/>
  <c r="BF11"/>
  <c r="AP11"/>
  <c r="AM11"/>
  <c r="AJ11"/>
  <c r="AI11"/>
  <c r="AH11"/>
  <c r="AG11"/>
  <c r="AF11"/>
  <c r="AD11"/>
  <c r="AC11"/>
  <c r="BW10"/>
  <c r="BV10"/>
  <c r="BS10"/>
  <c r="BG10"/>
  <c r="BE10"/>
  <c r="AR10"/>
  <c r="AQ10"/>
  <c r="BF10"/>
  <c r="AP10"/>
  <c r="AM10"/>
  <c r="AJ10"/>
  <c r="AI10"/>
  <c r="AH10"/>
  <c r="AG10"/>
  <c r="AF10"/>
  <c r="AD10"/>
  <c r="AC10"/>
  <c r="BW9"/>
  <c r="BV9"/>
  <c r="BS9"/>
  <c r="BG9"/>
  <c r="BE9"/>
  <c r="AR9"/>
  <c r="AQ9"/>
  <c r="BF9"/>
  <c r="AP9"/>
  <c r="AM9"/>
  <c r="AJ9"/>
  <c r="AI9"/>
  <c r="AH9"/>
  <c r="AG9"/>
  <c r="AF9"/>
  <c r="AD9"/>
  <c r="AC9"/>
  <c r="BW8"/>
  <c r="BV8"/>
  <c r="BS8"/>
  <c r="BG8"/>
  <c r="BE8"/>
  <c r="AR8"/>
  <c r="AQ8"/>
  <c r="BF8"/>
  <c r="AP8"/>
  <c r="AM8"/>
  <c r="AJ8"/>
  <c r="AI8"/>
  <c r="AH8"/>
  <c r="AG8"/>
  <c r="AF8"/>
  <c r="AD8"/>
  <c r="AC8"/>
  <c r="BW7"/>
  <c r="BV7"/>
  <c r="BS7"/>
  <c r="BG7"/>
  <c r="BE7"/>
  <c r="AR7"/>
  <c r="AQ7"/>
  <c r="BF7"/>
  <c r="AP7"/>
  <c r="AM7"/>
  <c r="AJ7"/>
  <c r="AI7"/>
  <c r="AH7"/>
  <c r="AG7"/>
  <c r="AF7"/>
  <c r="AD7"/>
  <c r="AC7"/>
  <c r="BW6"/>
  <c r="BW41"/>
  <c r="BV6"/>
  <c r="BS6"/>
  <c r="BG6"/>
  <c r="AR6"/>
  <c r="AQ6"/>
  <c r="AP6"/>
  <c r="AM6"/>
  <c r="AH6"/>
  <c r="AF6"/>
  <c r="AD6"/>
  <c r="AD45"/>
  <c r="AC6"/>
  <c r="BW46" i="10"/>
  <c r="BV46"/>
  <c r="BV45"/>
  <c r="BU46"/>
  <c r="BU45"/>
  <c r="AD34"/>
  <c r="AD35"/>
  <c r="AC49" i="11"/>
  <c r="AF49"/>
  <c r="AI49"/>
  <c r="AJ49"/>
  <c r="AP49"/>
  <c r="BF31"/>
  <c r="AQ49"/>
  <c r="AM49"/>
  <c r="AM48"/>
  <c r="AC48"/>
  <c r="AD48"/>
  <c r="BE44"/>
  <c r="AI48"/>
  <c r="AJ48"/>
  <c r="AP48"/>
  <c r="AD47"/>
  <c r="AI47"/>
  <c r="AG47"/>
  <c r="AM47"/>
  <c r="AQ47"/>
  <c r="AJ47"/>
  <c r="AP47"/>
  <c r="AC41"/>
  <c r="AI41"/>
  <c r="AF46"/>
  <c r="AC46"/>
  <c r="AH46"/>
  <c r="AJ46"/>
  <c r="BE41"/>
  <c r="AJ41"/>
  <c r="AQ45"/>
  <c r="AP41"/>
  <c r="AP45"/>
  <c r="AP46"/>
  <c r="AQ46"/>
  <c r="AM46"/>
  <c r="AM45"/>
  <c r="AM41"/>
  <c r="AF48"/>
  <c r="AF41"/>
  <c r="AF47"/>
  <c r="BF13"/>
  <c r="AH45"/>
  <c r="BF6"/>
  <c r="AG41"/>
  <c r="AG46"/>
  <c r="AH47"/>
  <c r="BF20"/>
  <c r="AH48"/>
  <c r="AD41"/>
  <c r="AG45"/>
  <c r="AQ48"/>
  <c r="AF45"/>
  <c r="AJ45"/>
  <c r="AI45"/>
  <c r="AJ34" i="10"/>
  <c r="AW42"/>
  <c r="AY42"/>
  <c r="AQ41" i="11"/>
  <c r="BF41"/>
  <c r="BE5" i="10"/>
  <c r="BE6"/>
  <c r="BE7"/>
  <c r="BE8"/>
  <c r="BE9"/>
  <c r="BE10"/>
  <c r="BE11"/>
  <c r="CD40"/>
  <c r="CE40"/>
  <c r="CF40"/>
  <c r="CC40"/>
  <c r="BZ40"/>
  <c r="CA40"/>
  <c r="BW40"/>
  <c r="BX40"/>
  <c r="BK40"/>
  <c r="BL40"/>
  <c r="BM40"/>
  <c r="BN40"/>
  <c r="BO40"/>
  <c r="BP40"/>
  <c r="BQ40"/>
  <c r="BR40"/>
  <c r="BS40"/>
  <c r="BT40"/>
  <c r="BJ40"/>
  <c r="BI40"/>
  <c r="BH40"/>
  <c r="AU40"/>
  <c r="AV40"/>
  <c r="AW40"/>
  <c r="AX40"/>
  <c r="AY40"/>
  <c r="AZ40"/>
  <c r="BB40"/>
  <c r="BC40"/>
  <c r="BD40"/>
  <c r="AT40"/>
  <c r="AO40"/>
  <c r="AN40"/>
  <c r="AL40"/>
  <c r="AK40"/>
  <c r="AE40"/>
  <c r="S40"/>
  <c r="T40"/>
  <c r="V40"/>
  <c r="W40"/>
  <c r="X40"/>
  <c r="Y40"/>
  <c r="Z40"/>
  <c r="AA40"/>
  <c r="AB40"/>
  <c r="R40"/>
  <c r="AH40"/>
  <c r="Q40"/>
  <c r="P40"/>
  <c r="O40"/>
  <c r="N40"/>
  <c r="M40"/>
  <c r="L40"/>
  <c r="J40"/>
  <c r="I40"/>
  <c r="H40"/>
  <c r="G40"/>
  <c r="F40"/>
  <c r="E40"/>
  <c r="D40"/>
  <c r="C40"/>
  <c r="B52"/>
  <c r="B53"/>
  <c r="B54"/>
  <c r="B55"/>
  <c r="B56"/>
  <c r="B57"/>
  <c r="B58"/>
  <c r="B59"/>
  <c r="B60"/>
  <c r="B61"/>
  <c r="B62"/>
  <c r="B63"/>
  <c r="B64"/>
  <c r="B65"/>
  <c r="B66"/>
  <c r="B67"/>
  <c r="B68"/>
  <c r="B69"/>
  <c r="B70"/>
  <c r="B71"/>
  <c r="B72"/>
  <c r="B73"/>
  <c r="B74"/>
  <c r="B75"/>
  <c r="B76"/>
  <c r="B77"/>
  <c r="B78"/>
  <c r="B79"/>
  <c r="B80"/>
  <c r="B81"/>
  <c r="AC40"/>
  <c r="S98"/>
  <c r="Q95"/>
  <c r="Q94"/>
  <c r="AQ48"/>
  <c r="AO48"/>
  <c r="AN48"/>
  <c r="AP48"/>
  <c r="AL48"/>
  <c r="AK48"/>
  <c r="AM48"/>
  <c r="AJ48"/>
  <c r="AH48"/>
  <c r="AG48"/>
  <c r="AF48"/>
  <c r="AE48"/>
  <c r="AD48"/>
  <c r="AC48"/>
  <c r="AB48"/>
  <c r="AA48"/>
  <c r="Z48"/>
  <c r="Y48"/>
  <c r="X48"/>
  <c r="W48"/>
  <c r="V48"/>
  <c r="U48"/>
  <c r="T48"/>
  <c r="S48"/>
  <c r="R48"/>
  <c r="Q48"/>
  <c r="P48"/>
  <c r="O48"/>
  <c r="N48"/>
  <c r="M48"/>
  <c r="L48"/>
  <c r="K48"/>
  <c r="J48"/>
  <c r="I48"/>
  <c r="H48"/>
  <c r="G48"/>
  <c r="F48"/>
  <c r="E48"/>
  <c r="D48"/>
  <c r="C48"/>
  <c r="AO47"/>
  <c r="AN47"/>
  <c r="AL47"/>
  <c r="AK47"/>
  <c r="AE47"/>
  <c r="AB47"/>
  <c r="AA47"/>
  <c r="Z47"/>
  <c r="Y47"/>
  <c r="X47"/>
  <c r="W47"/>
  <c r="V47"/>
  <c r="U47"/>
  <c r="T47"/>
  <c r="S47"/>
  <c r="R47"/>
  <c r="Q47"/>
  <c r="P47"/>
  <c r="O47"/>
  <c r="N47"/>
  <c r="M47"/>
  <c r="L47"/>
  <c r="K47"/>
  <c r="J47"/>
  <c r="I47"/>
  <c r="H47"/>
  <c r="G47"/>
  <c r="F47"/>
  <c r="E47"/>
  <c r="D47"/>
  <c r="C47"/>
  <c r="AO46"/>
  <c r="AN46"/>
  <c r="AL46"/>
  <c r="AK46"/>
  <c r="AE46"/>
  <c r="AB46"/>
  <c r="AA46"/>
  <c r="Z46"/>
  <c r="Y46"/>
  <c r="X46"/>
  <c r="W46"/>
  <c r="V46"/>
  <c r="U46"/>
  <c r="T46"/>
  <c r="S46"/>
  <c r="R46"/>
  <c r="Q46"/>
  <c r="P46"/>
  <c r="O46"/>
  <c r="N46"/>
  <c r="M46"/>
  <c r="L46"/>
  <c r="K46"/>
  <c r="J46"/>
  <c r="I46"/>
  <c r="H46"/>
  <c r="G46"/>
  <c r="F46"/>
  <c r="E46"/>
  <c r="D46"/>
  <c r="C46"/>
  <c r="AO45"/>
  <c r="AN45"/>
  <c r="AL45"/>
  <c r="AK45"/>
  <c r="AE45"/>
  <c r="AB45"/>
  <c r="AA45"/>
  <c r="Z45"/>
  <c r="Y45"/>
  <c r="X45"/>
  <c r="W45"/>
  <c r="V45"/>
  <c r="U45"/>
  <c r="T45"/>
  <c r="S45"/>
  <c r="R45"/>
  <c r="Q45"/>
  <c r="P45"/>
  <c r="N45"/>
  <c r="M45"/>
  <c r="L45"/>
  <c r="K45"/>
  <c r="J45"/>
  <c r="I45"/>
  <c r="H45"/>
  <c r="G45"/>
  <c r="F45"/>
  <c r="E45"/>
  <c r="D45"/>
  <c r="C45"/>
  <c r="AO44"/>
  <c r="AN44"/>
  <c r="AL44"/>
  <c r="AK44"/>
  <c r="AF44"/>
  <c r="AC44"/>
  <c r="AB44"/>
  <c r="AA44"/>
  <c r="Z44"/>
  <c r="Y44"/>
  <c r="X44"/>
  <c r="W44"/>
  <c r="V44"/>
  <c r="U44"/>
  <c r="T44"/>
  <c r="S44"/>
  <c r="R44"/>
  <c r="Q44"/>
  <c r="P44"/>
  <c r="O44"/>
  <c r="N44"/>
  <c r="M44"/>
  <c r="L44"/>
  <c r="K44"/>
  <c r="J44"/>
  <c r="I44"/>
  <c r="H44"/>
  <c r="G44"/>
  <c r="F44"/>
  <c r="E44"/>
  <c r="D44"/>
  <c r="C44"/>
  <c r="BF41"/>
  <c r="BE40"/>
  <c r="K40"/>
  <c r="BV39"/>
  <c r="BU39"/>
  <c r="BG39"/>
  <c r="BE39"/>
  <c r="AR39"/>
  <c r="AQ39"/>
  <c r="BF39"/>
  <c r="AP39"/>
  <c r="AM39"/>
  <c r="AJ39"/>
  <c r="AH39"/>
  <c r="AG39"/>
  <c r="AF39"/>
  <c r="AD39"/>
  <c r="BV38"/>
  <c r="BU38"/>
  <c r="BG38"/>
  <c r="BE38"/>
  <c r="AR38"/>
  <c r="AQ38"/>
  <c r="BF38"/>
  <c r="AP38"/>
  <c r="AM38"/>
  <c r="AJ38"/>
  <c r="AH38"/>
  <c r="AG38"/>
  <c r="AF38"/>
  <c r="AD38"/>
  <c r="AC38"/>
  <c r="BV37"/>
  <c r="BU37"/>
  <c r="BG37"/>
  <c r="BE37"/>
  <c r="AR37"/>
  <c r="AQ37"/>
  <c r="BF37"/>
  <c r="AP37"/>
  <c r="AM37"/>
  <c r="AJ37"/>
  <c r="AI37"/>
  <c r="AH37"/>
  <c r="AG37"/>
  <c r="AF37"/>
  <c r="AD37"/>
  <c r="AC37"/>
  <c r="BV36"/>
  <c r="BU36"/>
  <c r="BG36"/>
  <c r="BE36"/>
  <c r="AR36"/>
  <c r="AQ36"/>
  <c r="BF36"/>
  <c r="AP36"/>
  <c r="AM36"/>
  <c r="AJ36"/>
  <c r="AI36"/>
  <c r="AH36"/>
  <c r="AG36"/>
  <c r="AF36"/>
  <c r="AD36"/>
  <c r="AC36"/>
  <c r="BV35"/>
  <c r="BU35"/>
  <c r="BG35"/>
  <c r="BE35"/>
  <c r="AR35"/>
  <c r="AQ35"/>
  <c r="BF35"/>
  <c r="AP35"/>
  <c r="AM35"/>
  <c r="AJ35"/>
  <c r="AI35"/>
  <c r="AH35"/>
  <c r="AG35"/>
  <c r="AF35"/>
  <c r="AC35"/>
  <c r="BV34"/>
  <c r="BU34"/>
  <c r="BG34"/>
  <c r="BE34"/>
  <c r="AR34"/>
  <c r="AQ34"/>
  <c r="BF34"/>
  <c r="AP34"/>
  <c r="AM34"/>
  <c r="AI34"/>
  <c r="AH34"/>
  <c r="AG34"/>
  <c r="AF34"/>
  <c r="AC34"/>
  <c r="BV33"/>
  <c r="BU33"/>
  <c r="BG33"/>
  <c r="BE33"/>
  <c r="AR33"/>
  <c r="AQ33"/>
  <c r="BF33"/>
  <c r="AP33"/>
  <c r="AM33"/>
  <c r="AJ33"/>
  <c r="AI33"/>
  <c r="AH33"/>
  <c r="AG33"/>
  <c r="AF33"/>
  <c r="AD33"/>
  <c r="AC33"/>
  <c r="BV32"/>
  <c r="BG32"/>
  <c r="BE32"/>
  <c r="AR32"/>
  <c r="AQ32"/>
  <c r="BF32"/>
  <c r="AP32"/>
  <c r="AM32"/>
  <c r="AJ32"/>
  <c r="AI32"/>
  <c r="AH32"/>
  <c r="AG32"/>
  <c r="AF32"/>
  <c r="AD32"/>
  <c r="AC32"/>
  <c r="BV31"/>
  <c r="BU31"/>
  <c r="BG31"/>
  <c r="BE31"/>
  <c r="AR31"/>
  <c r="AQ31"/>
  <c r="BF31"/>
  <c r="AP31"/>
  <c r="AM31"/>
  <c r="AJ31"/>
  <c r="AI31"/>
  <c r="AH31"/>
  <c r="AG31"/>
  <c r="AF31"/>
  <c r="AD31"/>
  <c r="AC31"/>
  <c r="BV30"/>
  <c r="BU30"/>
  <c r="BG30"/>
  <c r="BE30"/>
  <c r="AR30"/>
  <c r="AQ30"/>
  <c r="BF30"/>
  <c r="AP30"/>
  <c r="AM30"/>
  <c r="AJ30"/>
  <c r="AI30"/>
  <c r="AH30"/>
  <c r="AG30"/>
  <c r="AF30"/>
  <c r="AD30"/>
  <c r="AC30"/>
  <c r="BV29"/>
  <c r="BU29"/>
  <c r="BG29"/>
  <c r="BE29"/>
  <c r="AR29"/>
  <c r="AQ29"/>
  <c r="BF29"/>
  <c r="AP29"/>
  <c r="AM29"/>
  <c r="AJ29"/>
  <c r="AI29"/>
  <c r="AH29"/>
  <c r="AG29"/>
  <c r="AF29"/>
  <c r="AD29"/>
  <c r="AC29"/>
  <c r="BV28"/>
  <c r="BU28"/>
  <c r="BG28"/>
  <c r="BE28"/>
  <c r="AR28"/>
  <c r="AQ28"/>
  <c r="BF28"/>
  <c r="AP28"/>
  <c r="AM28"/>
  <c r="AJ28"/>
  <c r="AI28"/>
  <c r="AH28"/>
  <c r="AG28"/>
  <c r="AF28"/>
  <c r="AD28"/>
  <c r="AC28"/>
  <c r="BV27"/>
  <c r="BU27"/>
  <c r="BG27"/>
  <c r="BE27"/>
  <c r="AR27"/>
  <c r="AQ27"/>
  <c r="BF27"/>
  <c r="AP27"/>
  <c r="AM27"/>
  <c r="AJ27"/>
  <c r="AI27"/>
  <c r="AI48"/>
  <c r="AH27"/>
  <c r="AG27"/>
  <c r="AF27"/>
  <c r="AD27"/>
  <c r="AC27"/>
  <c r="BV26"/>
  <c r="BU26"/>
  <c r="BG26"/>
  <c r="BE26"/>
  <c r="AR26"/>
  <c r="AQ26"/>
  <c r="AP26"/>
  <c r="AM26"/>
  <c r="AJ26"/>
  <c r="AI26"/>
  <c r="AH26"/>
  <c r="AG26"/>
  <c r="AF26"/>
  <c r="AD26"/>
  <c r="AC26"/>
  <c r="BV25"/>
  <c r="BU25"/>
  <c r="BG25"/>
  <c r="BE25"/>
  <c r="AR25"/>
  <c r="AQ25"/>
  <c r="BF25"/>
  <c r="AP25"/>
  <c r="AM25"/>
  <c r="AJ25"/>
  <c r="AI25"/>
  <c r="AH25"/>
  <c r="AG25"/>
  <c r="AF25"/>
  <c r="AD25"/>
  <c r="AC25"/>
  <c r="BV24"/>
  <c r="BU24"/>
  <c r="BG24"/>
  <c r="BE24"/>
  <c r="AR24"/>
  <c r="AQ24"/>
  <c r="BF24"/>
  <c r="AP24"/>
  <c r="AM24"/>
  <c r="AJ24"/>
  <c r="AI24"/>
  <c r="AH24"/>
  <c r="AG24"/>
  <c r="AF24"/>
  <c r="AD24"/>
  <c r="AC24"/>
  <c r="BV23"/>
  <c r="BU23"/>
  <c r="BG23"/>
  <c r="BE23"/>
  <c r="AR23"/>
  <c r="AQ23"/>
  <c r="BF23"/>
  <c r="AP23"/>
  <c r="AM23"/>
  <c r="AJ23"/>
  <c r="AI23"/>
  <c r="AH23"/>
  <c r="AG23"/>
  <c r="AF23"/>
  <c r="AD23"/>
  <c r="AC23"/>
  <c r="BV22"/>
  <c r="BU22"/>
  <c r="BG22"/>
  <c r="BE22"/>
  <c r="AR22"/>
  <c r="AQ22"/>
  <c r="BF22"/>
  <c r="AP22"/>
  <c r="AM22"/>
  <c r="AJ22"/>
  <c r="AI22"/>
  <c r="AH22"/>
  <c r="AG22"/>
  <c r="AF22"/>
  <c r="AD22"/>
  <c r="AC22"/>
  <c r="BV21"/>
  <c r="BU21"/>
  <c r="BG21"/>
  <c r="BE21"/>
  <c r="AR21"/>
  <c r="AQ21"/>
  <c r="BF21"/>
  <c r="AP21"/>
  <c r="AM21"/>
  <c r="AJ21"/>
  <c r="AI21"/>
  <c r="AH21"/>
  <c r="AG21"/>
  <c r="AF21"/>
  <c r="AD21"/>
  <c r="AC21"/>
  <c r="BV20"/>
  <c r="BU20"/>
  <c r="BG20"/>
  <c r="BE20"/>
  <c r="AR20"/>
  <c r="AQ20"/>
  <c r="BF20"/>
  <c r="AP20"/>
  <c r="AM20"/>
  <c r="AJ20"/>
  <c r="AI20"/>
  <c r="AH20"/>
  <c r="AG20"/>
  <c r="AF20"/>
  <c r="AD20"/>
  <c r="AC20"/>
  <c r="BV19"/>
  <c r="BU19"/>
  <c r="BG19"/>
  <c r="BE19"/>
  <c r="AR19"/>
  <c r="AQ19"/>
  <c r="AP19"/>
  <c r="AM19"/>
  <c r="AJ19"/>
  <c r="AI19"/>
  <c r="AH19"/>
  <c r="AG19"/>
  <c r="AF19"/>
  <c r="AD19"/>
  <c r="AC19"/>
  <c r="BV18"/>
  <c r="BU18"/>
  <c r="BG18"/>
  <c r="BE18"/>
  <c r="AR18"/>
  <c r="AQ18"/>
  <c r="BF18"/>
  <c r="AP18"/>
  <c r="AM18"/>
  <c r="AJ18"/>
  <c r="AI18"/>
  <c r="AH18"/>
  <c r="AG18"/>
  <c r="AF18"/>
  <c r="AD18"/>
  <c r="AC18"/>
  <c r="BV17"/>
  <c r="BU17"/>
  <c r="BG17"/>
  <c r="BE17"/>
  <c r="AR17"/>
  <c r="AQ17"/>
  <c r="BF17"/>
  <c r="AP17"/>
  <c r="AM17"/>
  <c r="AJ17"/>
  <c r="AI17"/>
  <c r="AH17"/>
  <c r="AG17"/>
  <c r="AF17"/>
  <c r="AD17"/>
  <c r="AC17"/>
  <c r="BV16"/>
  <c r="BU16"/>
  <c r="BG16"/>
  <c r="BE16"/>
  <c r="AR16"/>
  <c r="AQ16"/>
  <c r="BF16"/>
  <c r="AP16"/>
  <c r="AM16"/>
  <c r="AJ16"/>
  <c r="AI16"/>
  <c r="AH16"/>
  <c r="AG16"/>
  <c r="AF16"/>
  <c r="AD16"/>
  <c r="AC16"/>
  <c r="BV15"/>
  <c r="BU15"/>
  <c r="BG15"/>
  <c r="BE15"/>
  <c r="AR15"/>
  <c r="AQ15"/>
  <c r="BF15"/>
  <c r="AP15"/>
  <c r="AM15"/>
  <c r="AJ15"/>
  <c r="AI15"/>
  <c r="AH15"/>
  <c r="AG15"/>
  <c r="AF15"/>
  <c r="AD15"/>
  <c r="AC15"/>
  <c r="BV14"/>
  <c r="BU14"/>
  <c r="BG14"/>
  <c r="BE14"/>
  <c r="AR14"/>
  <c r="AQ14"/>
  <c r="BF14"/>
  <c r="AP14"/>
  <c r="AM14"/>
  <c r="AJ14"/>
  <c r="AI14"/>
  <c r="AH14"/>
  <c r="AG14"/>
  <c r="AF14"/>
  <c r="AD14"/>
  <c r="AC14"/>
  <c r="BV13"/>
  <c r="BU13"/>
  <c r="BG13"/>
  <c r="BE13"/>
  <c r="AR13"/>
  <c r="AQ13"/>
  <c r="BF13"/>
  <c r="AP13"/>
  <c r="AM13"/>
  <c r="AJ13"/>
  <c r="AI13"/>
  <c r="AH13"/>
  <c r="AG13"/>
  <c r="AF13"/>
  <c r="AD13"/>
  <c r="AC13"/>
  <c r="BV12"/>
  <c r="BU12"/>
  <c r="BG12"/>
  <c r="BE12"/>
  <c r="AR12"/>
  <c r="AQ12"/>
  <c r="AP12"/>
  <c r="AM12"/>
  <c r="AJ12"/>
  <c r="AI12"/>
  <c r="AH12"/>
  <c r="AG12"/>
  <c r="AF12"/>
  <c r="AD12"/>
  <c r="AC12"/>
  <c r="BU11"/>
  <c r="BG11"/>
  <c r="AR11"/>
  <c r="AQ11"/>
  <c r="BF11"/>
  <c r="AP11"/>
  <c r="AM11"/>
  <c r="AJ11"/>
  <c r="AI11"/>
  <c r="AH11"/>
  <c r="AG11"/>
  <c r="AF11"/>
  <c r="AD11"/>
  <c r="AC11"/>
  <c r="BU10"/>
  <c r="BG10"/>
  <c r="AR10"/>
  <c r="AQ10"/>
  <c r="BF10"/>
  <c r="AP10"/>
  <c r="AM10"/>
  <c r="AJ10"/>
  <c r="AI10"/>
  <c r="AH10"/>
  <c r="AG10"/>
  <c r="AF10"/>
  <c r="AD10"/>
  <c r="AC10"/>
  <c r="BU9"/>
  <c r="BG9"/>
  <c r="AR9"/>
  <c r="AQ9"/>
  <c r="BF9"/>
  <c r="AP9"/>
  <c r="AM9"/>
  <c r="AJ9"/>
  <c r="AI9"/>
  <c r="AH9"/>
  <c r="AG9"/>
  <c r="AF9"/>
  <c r="AD9"/>
  <c r="AC9"/>
  <c r="BU8"/>
  <c r="BG8"/>
  <c r="AR8"/>
  <c r="AQ8"/>
  <c r="BF8"/>
  <c r="AP8"/>
  <c r="AM8"/>
  <c r="AJ8"/>
  <c r="AI8"/>
  <c r="AH8"/>
  <c r="AG8"/>
  <c r="AF8"/>
  <c r="AD8"/>
  <c r="AC8"/>
  <c r="BU7"/>
  <c r="BG7"/>
  <c r="AR7"/>
  <c r="AQ7"/>
  <c r="AP7"/>
  <c r="AM7"/>
  <c r="AJ7"/>
  <c r="AI7"/>
  <c r="AH7"/>
  <c r="AG7"/>
  <c r="AF7"/>
  <c r="AD7"/>
  <c r="AC7"/>
  <c r="BV6"/>
  <c r="BU6"/>
  <c r="BG6"/>
  <c r="AR6"/>
  <c r="AQ6"/>
  <c r="BF6"/>
  <c r="AP6"/>
  <c r="AM6"/>
  <c r="AJ6"/>
  <c r="AI6"/>
  <c r="AH6"/>
  <c r="AG6"/>
  <c r="AF6"/>
  <c r="AD6"/>
  <c r="AC6"/>
  <c r="BV5"/>
  <c r="BU5"/>
  <c r="BG5"/>
  <c r="AR5"/>
  <c r="AQ5"/>
  <c r="BF5"/>
  <c r="AP5"/>
  <c r="AM5"/>
  <c r="AJ5"/>
  <c r="AI5"/>
  <c r="AH5"/>
  <c r="AG5"/>
  <c r="AF5"/>
  <c r="AD5"/>
  <c r="AC5"/>
  <c r="BA50" i="9"/>
  <c r="BA47"/>
  <c r="AX47"/>
  <c r="AD47" i="10"/>
  <c r="AI47"/>
  <c r="AC47"/>
  <c r="AH47"/>
  <c r="AG47"/>
  <c r="AF47"/>
  <c r="AJ47"/>
  <c r="AD46"/>
  <c r="AC46"/>
  <c r="AH46"/>
  <c r="AI46"/>
  <c r="AG46"/>
  <c r="BV40"/>
  <c r="AC45"/>
  <c r="AH45"/>
  <c r="AP45"/>
  <c r="AM45"/>
  <c r="BG40"/>
  <c r="AP40"/>
  <c r="AM40"/>
  <c r="AF40"/>
  <c r="AJ40"/>
  <c r="AI40"/>
  <c r="AD40"/>
  <c r="AR40"/>
  <c r="AG40"/>
  <c r="AQ46"/>
  <c r="AQ47"/>
  <c r="AF46"/>
  <c r="AJ46"/>
  <c r="AG45"/>
  <c r="AH44"/>
  <c r="AD45"/>
  <c r="AI45"/>
  <c r="AQ45"/>
  <c r="AP47"/>
  <c r="AM46"/>
  <c r="AM47"/>
  <c r="AE44"/>
  <c r="AD44"/>
  <c r="AF45"/>
  <c r="AJ45"/>
  <c r="BF19"/>
  <c r="BF26"/>
  <c r="AM44"/>
  <c r="AP46"/>
  <c r="AP44"/>
  <c r="AJ44"/>
  <c r="AQ44"/>
  <c r="AG44"/>
  <c r="AI44"/>
  <c r="BF7"/>
  <c r="BF12"/>
  <c r="BK40" i="9"/>
  <c r="D40"/>
  <c r="BU7"/>
  <c r="BU8"/>
  <c r="BU9"/>
  <c r="BU10"/>
  <c r="BG7"/>
  <c r="BG8"/>
  <c r="BG9"/>
  <c r="BG10"/>
  <c r="BG11"/>
  <c r="BE7"/>
  <c r="BE8"/>
  <c r="BE9"/>
  <c r="BE10"/>
  <c r="T48"/>
  <c r="S48"/>
  <c r="R48"/>
  <c r="Q48"/>
  <c r="P48"/>
  <c r="H48"/>
  <c r="I48"/>
  <c r="J48"/>
  <c r="K48"/>
  <c r="L48"/>
  <c r="M48"/>
  <c r="N48"/>
  <c r="O48"/>
  <c r="I47"/>
  <c r="J47"/>
  <c r="K47"/>
  <c r="L47"/>
  <c r="M47"/>
  <c r="N47"/>
  <c r="O47"/>
  <c r="D48"/>
  <c r="E48"/>
  <c r="F48"/>
  <c r="G48"/>
  <c r="C48"/>
  <c r="AO44"/>
  <c r="AN44"/>
  <c r="AL44"/>
  <c r="AK44"/>
  <c r="AF44"/>
  <c r="AC44"/>
  <c r="AB44"/>
  <c r="AA44"/>
  <c r="Z44"/>
  <c r="Y44"/>
  <c r="X44"/>
  <c r="S44"/>
  <c r="T44"/>
  <c r="U44"/>
  <c r="V44"/>
  <c r="W44"/>
  <c r="R44"/>
  <c r="I44"/>
  <c r="J44"/>
  <c r="K44"/>
  <c r="L44"/>
  <c r="M44"/>
  <c r="N44"/>
  <c r="O44"/>
  <c r="P44"/>
  <c r="Q44"/>
  <c r="H44"/>
  <c r="D44"/>
  <c r="E44"/>
  <c r="F44"/>
  <c r="G44"/>
  <c r="C44"/>
  <c r="AI12"/>
  <c r="AI13"/>
  <c r="AI14"/>
  <c r="AI15"/>
  <c r="AI7"/>
  <c r="AI8"/>
  <c r="AI9"/>
  <c r="AI10"/>
  <c r="AI11"/>
  <c r="AN40"/>
  <c r="AK40"/>
  <c r="AO40"/>
  <c r="AL40"/>
  <c r="AE40"/>
  <c r="Y40"/>
  <c r="Z40"/>
  <c r="AA40"/>
  <c r="AB40"/>
  <c r="X40"/>
  <c r="W40"/>
  <c r="V40"/>
  <c r="S40"/>
  <c r="T40"/>
  <c r="R40"/>
  <c r="Q40"/>
  <c r="P40"/>
  <c r="O40"/>
  <c r="N40"/>
  <c r="M40"/>
  <c r="L40"/>
  <c r="K40"/>
  <c r="J40"/>
  <c r="I40"/>
  <c r="H40"/>
  <c r="E40"/>
  <c r="F40"/>
  <c r="G40"/>
  <c r="AM7"/>
  <c r="AM8"/>
  <c r="AM9"/>
  <c r="AM10"/>
  <c r="AM11"/>
  <c r="AP7"/>
  <c r="AP8"/>
  <c r="AP9"/>
  <c r="AP10"/>
  <c r="AP11"/>
  <c r="AR7"/>
  <c r="AR8"/>
  <c r="AR9"/>
  <c r="AR10"/>
  <c r="AR11"/>
  <c r="AQ7"/>
  <c r="AQ8"/>
  <c r="BF8"/>
  <c r="AQ9"/>
  <c r="BF9"/>
  <c r="AQ10"/>
  <c r="BF10"/>
  <c r="AQ11"/>
  <c r="BF11"/>
  <c r="AD7"/>
  <c r="AD8"/>
  <c r="AD9"/>
  <c r="AD10"/>
  <c r="AD11"/>
  <c r="AC5"/>
  <c r="AC6"/>
  <c r="AC7"/>
  <c r="AC8"/>
  <c r="AC9"/>
  <c r="AC10"/>
  <c r="AC11"/>
  <c r="AC12"/>
  <c r="AC13"/>
  <c r="AC14"/>
  <c r="AC15"/>
  <c r="AC16"/>
  <c r="AC17"/>
  <c r="AC18"/>
  <c r="AC19"/>
  <c r="AC20"/>
  <c r="AC21"/>
  <c r="AC22"/>
  <c r="AC23"/>
  <c r="AC24"/>
  <c r="AC25"/>
  <c r="AC26"/>
  <c r="AC27"/>
  <c r="AC28"/>
  <c r="AC29"/>
  <c r="AC30"/>
  <c r="AC31"/>
  <c r="AC32"/>
  <c r="AC33"/>
  <c r="AC34"/>
  <c r="AC35"/>
  <c r="AC36"/>
  <c r="AC37"/>
  <c r="AC38"/>
  <c r="AC39"/>
  <c r="AF7"/>
  <c r="AF8"/>
  <c r="AF9"/>
  <c r="AF10"/>
  <c r="AF11"/>
  <c r="AJ7"/>
  <c r="AJ8"/>
  <c r="AJ9"/>
  <c r="AJ10"/>
  <c r="AH7"/>
  <c r="AH8"/>
  <c r="AH9"/>
  <c r="AH10"/>
  <c r="AG7"/>
  <c r="AG8"/>
  <c r="AG9"/>
  <c r="AG10"/>
  <c r="C40"/>
  <c r="BU11"/>
  <c r="BE11"/>
  <c r="AJ11"/>
  <c r="AH11"/>
  <c r="AG11"/>
  <c r="BV6"/>
  <c r="BU6"/>
  <c r="BG6"/>
  <c r="BE6"/>
  <c r="AR6"/>
  <c r="AQ6"/>
  <c r="BF6"/>
  <c r="AP6"/>
  <c r="AM6"/>
  <c r="AJ6"/>
  <c r="AI6"/>
  <c r="AH6"/>
  <c r="AG6"/>
  <c r="AF6"/>
  <c r="AD6"/>
  <c r="BV5"/>
  <c r="BU5"/>
  <c r="BG5"/>
  <c r="BE5"/>
  <c r="AR5"/>
  <c r="AQ5"/>
  <c r="BF5"/>
  <c r="AP5"/>
  <c r="AM5"/>
  <c r="AJ5"/>
  <c r="AI5"/>
  <c r="AH5"/>
  <c r="AG5"/>
  <c r="AF5"/>
  <c r="AD5"/>
  <c r="S99"/>
  <c r="Q96"/>
  <c r="Q95"/>
  <c r="AQ48"/>
  <c r="AO48"/>
  <c r="AN48"/>
  <c r="AP48"/>
  <c r="AL48"/>
  <c r="AK48"/>
  <c r="AM48"/>
  <c r="AJ48"/>
  <c r="AH48"/>
  <c r="AG48"/>
  <c r="AF48"/>
  <c r="AE48"/>
  <c r="AD48"/>
  <c r="AC48"/>
  <c r="AB48"/>
  <c r="AA48"/>
  <c r="Z48"/>
  <c r="Y48"/>
  <c r="X48"/>
  <c r="W48"/>
  <c r="V48"/>
  <c r="U48"/>
  <c r="AO47"/>
  <c r="AN47"/>
  <c r="AL47"/>
  <c r="AK47"/>
  <c r="AE47"/>
  <c r="AB47"/>
  <c r="AA47"/>
  <c r="Z47"/>
  <c r="Y47"/>
  <c r="X47"/>
  <c r="W47"/>
  <c r="V47"/>
  <c r="U47"/>
  <c r="T47"/>
  <c r="S47"/>
  <c r="R47"/>
  <c r="Q47"/>
  <c r="P47"/>
  <c r="H47"/>
  <c r="G47"/>
  <c r="F47"/>
  <c r="E47"/>
  <c r="D47"/>
  <c r="C47"/>
  <c r="AO46"/>
  <c r="AN46"/>
  <c r="AL46"/>
  <c r="AK46"/>
  <c r="AE46"/>
  <c r="AB46"/>
  <c r="AA46"/>
  <c r="Z46"/>
  <c r="Y46"/>
  <c r="X46"/>
  <c r="W46"/>
  <c r="V46"/>
  <c r="U46"/>
  <c r="T46"/>
  <c r="S46"/>
  <c r="R46"/>
  <c r="Q46"/>
  <c r="P46"/>
  <c r="O46"/>
  <c r="N46"/>
  <c r="M46"/>
  <c r="L46"/>
  <c r="K46"/>
  <c r="J46"/>
  <c r="I46"/>
  <c r="H46"/>
  <c r="G46"/>
  <c r="F46"/>
  <c r="E46"/>
  <c r="D46"/>
  <c r="C46"/>
  <c r="AO45"/>
  <c r="AN45"/>
  <c r="AL45"/>
  <c r="AK45"/>
  <c r="AE45"/>
  <c r="AB45"/>
  <c r="AA45"/>
  <c r="Z45"/>
  <c r="Y45"/>
  <c r="X45"/>
  <c r="W45"/>
  <c r="V45"/>
  <c r="U45"/>
  <c r="T45"/>
  <c r="S45"/>
  <c r="R45"/>
  <c r="Q45"/>
  <c r="P45"/>
  <c r="N45"/>
  <c r="M45"/>
  <c r="L45"/>
  <c r="K45"/>
  <c r="J45"/>
  <c r="I45"/>
  <c r="H45"/>
  <c r="G45"/>
  <c r="F45"/>
  <c r="E45"/>
  <c r="D45"/>
  <c r="C45"/>
  <c r="BF41"/>
  <c r="CA40"/>
  <c r="BZ40"/>
  <c r="BX40"/>
  <c r="BW40"/>
  <c r="BT40"/>
  <c r="BS40"/>
  <c r="BR40"/>
  <c r="BQ40"/>
  <c r="BP40"/>
  <c r="BO40"/>
  <c r="BN40"/>
  <c r="BM40"/>
  <c r="BL40"/>
  <c r="BJ40"/>
  <c r="BI40"/>
  <c r="BH40"/>
  <c r="BD40"/>
  <c r="BC40"/>
  <c r="BB40"/>
  <c r="AZ40"/>
  <c r="AY40"/>
  <c r="AX40"/>
  <c r="AW40"/>
  <c r="AV40"/>
  <c r="AU40"/>
  <c r="AT40"/>
  <c r="BV39"/>
  <c r="BU39"/>
  <c r="BG39"/>
  <c r="BE39"/>
  <c r="AR39"/>
  <c r="AQ39"/>
  <c r="BF39"/>
  <c r="AP39"/>
  <c r="AM39"/>
  <c r="AJ39"/>
  <c r="AI39"/>
  <c r="AH39"/>
  <c r="AG39"/>
  <c r="AF39"/>
  <c r="AD39"/>
  <c r="BV38"/>
  <c r="BU38"/>
  <c r="BG38"/>
  <c r="BE38"/>
  <c r="AR38"/>
  <c r="AQ38"/>
  <c r="BF38"/>
  <c r="AP38"/>
  <c r="AM38"/>
  <c r="AJ38"/>
  <c r="AI38"/>
  <c r="AH38"/>
  <c r="AG38"/>
  <c r="AF38"/>
  <c r="AD38"/>
  <c r="BV37"/>
  <c r="BU37"/>
  <c r="BG37"/>
  <c r="BE37"/>
  <c r="AR37"/>
  <c r="AQ37"/>
  <c r="BF37"/>
  <c r="AP37"/>
  <c r="AM37"/>
  <c r="AJ37"/>
  <c r="AI37"/>
  <c r="AH37"/>
  <c r="AG37"/>
  <c r="AF37"/>
  <c r="AD37"/>
  <c r="BV36"/>
  <c r="BU36"/>
  <c r="BG36"/>
  <c r="BE36"/>
  <c r="AR36"/>
  <c r="AQ36"/>
  <c r="BF36"/>
  <c r="AP36"/>
  <c r="AM36"/>
  <c r="AJ36"/>
  <c r="AI36"/>
  <c r="AH36"/>
  <c r="AG36"/>
  <c r="AF36"/>
  <c r="AD36"/>
  <c r="BV35"/>
  <c r="BU35"/>
  <c r="BG35"/>
  <c r="BE35"/>
  <c r="AR35"/>
  <c r="AQ35"/>
  <c r="BF35"/>
  <c r="AP35"/>
  <c r="AM35"/>
  <c r="AJ35"/>
  <c r="AI35"/>
  <c r="AH35"/>
  <c r="AG35"/>
  <c r="AF35"/>
  <c r="AD35"/>
  <c r="BV34"/>
  <c r="BU34"/>
  <c r="BG34"/>
  <c r="BE34"/>
  <c r="AR34"/>
  <c r="AQ34"/>
  <c r="BF34"/>
  <c r="AP34"/>
  <c r="AM34"/>
  <c r="AJ34"/>
  <c r="AI34"/>
  <c r="AH34"/>
  <c r="AG34"/>
  <c r="AF34"/>
  <c r="AD34"/>
  <c r="BV33"/>
  <c r="BU33"/>
  <c r="BG33"/>
  <c r="BE33"/>
  <c r="AR33"/>
  <c r="AQ33"/>
  <c r="BF33"/>
  <c r="AP33"/>
  <c r="AM33"/>
  <c r="AJ33"/>
  <c r="AI33"/>
  <c r="AH33"/>
  <c r="AG33"/>
  <c r="AF33"/>
  <c r="AD33"/>
  <c r="BV32"/>
  <c r="BU32"/>
  <c r="BG32"/>
  <c r="BE32"/>
  <c r="AR32"/>
  <c r="AQ32"/>
  <c r="BF32"/>
  <c r="AP32"/>
  <c r="AM32"/>
  <c r="AJ32"/>
  <c r="AI32"/>
  <c r="AH32"/>
  <c r="AG32"/>
  <c r="AF32"/>
  <c r="AD32"/>
  <c r="BV31"/>
  <c r="BU31"/>
  <c r="BG31"/>
  <c r="BE31"/>
  <c r="AR31"/>
  <c r="AQ31"/>
  <c r="BF31"/>
  <c r="AP31"/>
  <c r="AM31"/>
  <c r="AJ31"/>
  <c r="AI31"/>
  <c r="AH31"/>
  <c r="AG31"/>
  <c r="AF31"/>
  <c r="AD31"/>
  <c r="BV30"/>
  <c r="BU30"/>
  <c r="BG30"/>
  <c r="BE30"/>
  <c r="AR30"/>
  <c r="AQ30"/>
  <c r="BF30"/>
  <c r="AP30"/>
  <c r="AM30"/>
  <c r="AJ30"/>
  <c r="AI30"/>
  <c r="AH30"/>
  <c r="AG30"/>
  <c r="AF30"/>
  <c r="AD30"/>
  <c r="BV29"/>
  <c r="BU29"/>
  <c r="BG29"/>
  <c r="BE29"/>
  <c r="AR29"/>
  <c r="AQ29"/>
  <c r="BF29"/>
  <c r="AP29"/>
  <c r="AM29"/>
  <c r="AJ29"/>
  <c r="AI29"/>
  <c r="AH29"/>
  <c r="AG29"/>
  <c r="AF29"/>
  <c r="AD29"/>
  <c r="BV28"/>
  <c r="BU28"/>
  <c r="BG28"/>
  <c r="BE28"/>
  <c r="AR28"/>
  <c r="AQ28"/>
  <c r="BF28"/>
  <c r="AP28"/>
  <c r="AM28"/>
  <c r="AJ28"/>
  <c r="AI28"/>
  <c r="AH28"/>
  <c r="AG28"/>
  <c r="AF28"/>
  <c r="AD28"/>
  <c r="BV27"/>
  <c r="BU27"/>
  <c r="BG27"/>
  <c r="BE27"/>
  <c r="AR27"/>
  <c r="AQ27"/>
  <c r="BF27"/>
  <c r="AP27"/>
  <c r="AM27"/>
  <c r="AJ27"/>
  <c r="AI27"/>
  <c r="AI48"/>
  <c r="AH27"/>
  <c r="AG27"/>
  <c r="AF27"/>
  <c r="AD27"/>
  <c r="BV26"/>
  <c r="BU26"/>
  <c r="BG26"/>
  <c r="BE26"/>
  <c r="AR26"/>
  <c r="AQ26"/>
  <c r="AP26"/>
  <c r="AM26"/>
  <c r="AJ26"/>
  <c r="AI26"/>
  <c r="AH26"/>
  <c r="AG26"/>
  <c r="AF26"/>
  <c r="AD26"/>
  <c r="BV25"/>
  <c r="BU25"/>
  <c r="BG25"/>
  <c r="BE25"/>
  <c r="AR25"/>
  <c r="AQ25"/>
  <c r="BF25"/>
  <c r="AP25"/>
  <c r="AM25"/>
  <c r="AJ25"/>
  <c r="AI25"/>
  <c r="AH25"/>
  <c r="AG25"/>
  <c r="AF25"/>
  <c r="AD25"/>
  <c r="BV24"/>
  <c r="BU24"/>
  <c r="BG24"/>
  <c r="BE24"/>
  <c r="AR24"/>
  <c r="AQ24"/>
  <c r="BF24"/>
  <c r="AP24"/>
  <c r="AM24"/>
  <c r="AJ24"/>
  <c r="AI24"/>
  <c r="AH24"/>
  <c r="AG24"/>
  <c r="AF24"/>
  <c r="AD24"/>
  <c r="BV23"/>
  <c r="BU23"/>
  <c r="BG23"/>
  <c r="BE23"/>
  <c r="AR23"/>
  <c r="AQ23"/>
  <c r="BF23"/>
  <c r="AP23"/>
  <c r="AM23"/>
  <c r="AJ23"/>
  <c r="AI23"/>
  <c r="AH23"/>
  <c r="AG23"/>
  <c r="AF23"/>
  <c r="AD23"/>
  <c r="BV22"/>
  <c r="BU22"/>
  <c r="BG22"/>
  <c r="BE22"/>
  <c r="AR22"/>
  <c r="AQ22"/>
  <c r="BF22"/>
  <c r="AP22"/>
  <c r="AM22"/>
  <c r="AJ22"/>
  <c r="AI22"/>
  <c r="AH22"/>
  <c r="AG22"/>
  <c r="AF22"/>
  <c r="AD22"/>
  <c r="BV21"/>
  <c r="BU21"/>
  <c r="BG21"/>
  <c r="BE21"/>
  <c r="AR21"/>
  <c r="AQ21"/>
  <c r="BF21"/>
  <c r="AP21"/>
  <c r="AM21"/>
  <c r="AJ21"/>
  <c r="AI21"/>
  <c r="AH21"/>
  <c r="AG21"/>
  <c r="AF21"/>
  <c r="AD21"/>
  <c r="BV20"/>
  <c r="BU20"/>
  <c r="BG20"/>
  <c r="BE20"/>
  <c r="AR20"/>
  <c r="AQ20"/>
  <c r="BF20"/>
  <c r="AP20"/>
  <c r="AM20"/>
  <c r="AJ20"/>
  <c r="AI20"/>
  <c r="AH20"/>
  <c r="AG20"/>
  <c r="AF20"/>
  <c r="AD20"/>
  <c r="BV19"/>
  <c r="BU19"/>
  <c r="BG19"/>
  <c r="BE19"/>
  <c r="AR19"/>
  <c r="AQ19"/>
  <c r="AP19"/>
  <c r="AM19"/>
  <c r="AJ19"/>
  <c r="AI19"/>
  <c r="AH19"/>
  <c r="AG19"/>
  <c r="AF19"/>
  <c r="AD19"/>
  <c r="BV18"/>
  <c r="BU18"/>
  <c r="BG18"/>
  <c r="BE18"/>
  <c r="AR18"/>
  <c r="AQ18"/>
  <c r="BF18"/>
  <c r="AP18"/>
  <c r="AM18"/>
  <c r="AJ18"/>
  <c r="AI18"/>
  <c r="AH18"/>
  <c r="AG18"/>
  <c r="AF18"/>
  <c r="AD18"/>
  <c r="BV17"/>
  <c r="BU17"/>
  <c r="BG17"/>
  <c r="BE17"/>
  <c r="AR17"/>
  <c r="AQ17"/>
  <c r="BF17"/>
  <c r="AP17"/>
  <c r="AM17"/>
  <c r="AJ17"/>
  <c r="AI17"/>
  <c r="AH17"/>
  <c r="AG17"/>
  <c r="AF17"/>
  <c r="AD17"/>
  <c r="BV16"/>
  <c r="BU16"/>
  <c r="BG16"/>
  <c r="BE16"/>
  <c r="AR16"/>
  <c r="AQ16"/>
  <c r="BF16"/>
  <c r="AP16"/>
  <c r="AM16"/>
  <c r="AJ16"/>
  <c r="AI16"/>
  <c r="AH16"/>
  <c r="AG16"/>
  <c r="AF16"/>
  <c r="AD16"/>
  <c r="BV15"/>
  <c r="BU15"/>
  <c r="BG15"/>
  <c r="BE15"/>
  <c r="AR15"/>
  <c r="AQ15"/>
  <c r="BF15"/>
  <c r="AP15"/>
  <c r="AM15"/>
  <c r="AJ15"/>
  <c r="AH15"/>
  <c r="AG15"/>
  <c r="AF15"/>
  <c r="AD15"/>
  <c r="BV14"/>
  <c r="BU14"/>
  <c r="BG14"/>
  <c r="BE14"/>
  <c r="AR14"/>
  <c r="AQ14"/>
  <c r="BF14"/>
  <c r="AP14"/>
  <c r="AM14"/>
  <c r="AJ14"/>
  <c r="AH14"/>
  <c r="AG14"/>
  <c r="AF14"/>
  <c r="AD14"/>
  <c r="BV13"/>
  <c r="BU13"/>
  <c r="BG13"/>
  <c r="BE13"/>
  <c r="AR13"/>
  <c r="AQ13"/>
  <c r="BF13"/>
  <c r="AP13"/>
  <c r="AM13"/>
  <c r="AJ13"/>
  <c r="AH13"/>
  <c r="AG13"/>
  <c r="AF13"/>
  <c r="AD13"/>
  <c r="BV12"/>
  <c r="BU12"/>
  <c r="BG12"/>
  <c r="BE12"/>
  <c r="AR12"/>
  <c r="AQ12"/>
  <c r="AP12"/>
  <c r="AM12"/>
  <c r="AJ12"/>
  <c r="AH12"/>
  <c r="AG12"/>
  <c r="AF12"/>
  <c r="AD12"/>
  <c r="AC45"/>
  <c r="AP41" i="8"/>
  <c r="AQ41"/>
  <c r="BF41"/>
  <c r="BU41"/>
  <c r="BV41"/>
  <c r="BG41"/>
  <c r="BE41"/>
  <c r="AM41"/>
  <c r="AJ41"/>
  <c r="AF41"/>
  <c r="AI41"/>
  <c r="AD41"/>
  <c r="AH41"/>
  <c r="AR41"/>
  <c r="AG41"/>
  <c r="S47"/>
  <c r="T47"/>
  <c r="V47"/>
  <c r="R47"/>
  <c r="Q47"/>
  <c r="P47"/>
  <c r="O47"/>
  <c r="N47"/>
  <c r="M47"/>
  <c r="L47"/>
  <c r="K47"/>
  <c r="J47"/>
  <c r="I47"/>
  <c r="H47"/>
  <c r="G47"/>
  <c r="F47"/>
  <c r="E47"/>
  <c r="D47"/>
  <c r="C47"/>
  <c r="BX47"/>
  <c r="BW47"/>
  <c r="BV47"/>
  <c r="CA47"/>
  <c r="BZ47"/>
  <c r="BU40"/>
  <c r="BV40"/>
  <c r="BG40"/>
  <c r="BE40"/>
  <c r="AP40"/>
  <c r="AQ40"/>
  <c r="BF40"/>
  <c r="AM40"/>
  <c r="AJ40"/>
  <c r="AF40"/>
  <c r="AI40"/>
  <c r="AD40"/>
  <c r="AH40"/>
  <c r="AR40"/>
  <c r="AG40"/>
  <c r="BV39"/>
  <c r="BU39"/>
  <c r="BG39"/>
  <c r="BE39"/>
  <c r="AR39"/>
  <c r="AQ39"/>
  <c r="BF39"/>
  <c r="AP39"/>
  <c r="AM39"/>
  <c r="AJ39"/>
  <c r="AI39"/>
  <c r="AH39"/>
  <c r="AG39"/>
  <c r="AF39"/>
  <c r="AD39"/>
  <c r="AC39"/>
  <c r="AD25"/>
  <c r="BV27"/>
  <c r="BV38"/>
  <c r="BV37"/>
  <c r="BV36"/>
  <c r="BV35"/>
  <c r="BV34"/>
  <c r="BV33"/>
  <c r="BV32"/>
  <c r="BV31"/>
  <c r="BV30"/>
  <c r="BV29"/>
  <c r="BV28"/>
  <c r="BV26"/>
  <c r="BV22"/>
  <c r="BV23"/>
  <c r="BV24"/>
  <c r="BV25"/>
  <c r="AQ40" i="10"/>
  <c r="BF40"/>
  <c r="AC47" i="9"/>
  <c r="AD47"/>
  <c r="AH47"/>
  <c r="AM47"/>
  <c r="AC46"/>
  <c r="AD46"/>
  <c r="AI46"/>
  <c r="AM46"/>
  <c r="AF40"/>
  <c r="AI45"/>
  <c r="AF45"/>
  <c r="AD45"/>
  <c r="AG45"/>
  <c r="AD44"/>
  <c r="AI40"/>
  <c r="AR40"/>
  <c r="AH44"/>
  <c r="AP40"/>
  <c r="AM40"/>
  <c r="AQ44"/>
  <c r="AG44"/>
  <c r="AJ40"/>
  <c r="AJ44"/>
  <c r="AD40"/>
  <c r="AH40"/>
  <c r="BF7"/>
  <c r="AM44"/>
  <c r="AP44"/>
  <c r="AE44"/>
  <c r="AG40"/>
  <c r="AI44"/>
  <c r="AJ45"/>
  <c r="AP47"/>
  <c r="AQ46"/>
  <c r="AF47"/>
  <c r="AF46"/>
  <c r="AQ45"/>
  <c r="AH45"/>
  <c r="AG46"/>
  <c r="AJ47"/>
  <c r="AJ46"/>
  <c r="AI47"/>
  <c r="AQ47"/>
  <c r="AH46"/>
  <c r="AG47"/>
  <c r="BG40"/>
  <c r="BE43"/>
  <c r="BD45"/>
  <c r="BV40"/>
  <c r="BF12"/>
  <c r="BF19"/>
  <c r="BF26"/>
  <c r="AC40"/>
  <c r="AP45"/>
  <c r="AP46"/>
  <c r="AM45"/>
  <c r="BE40"/>
  <c r="BV21" i="8"/>
  <c r="BV20"/>
  <c r="BV19"/>
  <c r="AR12"/>
  <c r="AR13"/>
  <c r="AR14"/>
  <c r="AR15"/>
  <c r="AR16"/>
  <c r="AH12"/>
  <c r="AF12"/>
  <c r="AK47"/>
  <c r="AL47"/>
  <c r="AN47"/>
  <c r="AO47"/>
  <c r="BV13"/>
  <c r="BV14"/>
  <c r="BV15"/>
  <c r="BV16"/>
  <c r="BV17"/>
  <c r="BV18"/>
  <c r="BV12"/>
  <c r="AQ40" i="9"/>
  <c r="BF40"/>
  <c r="BV6" i="8"/>
  <c r="BV7"/>
  <c r="BV8"/>
  <c r="BV9"/>
  <c r="BV10"/>
  <c r="BV5"/>
  <c r="BG10"/>
  <c r="BG9"/>
  <c r="BG8"/>
  <c r="BG7"/>
  <c r="BG6"/>
  <c r="BG5"/>
  <c r="S106"/>
  <c r="Q103"/>
  <c r="Q102"/>
  <c r="AQ55"/>
  <c r="AO55"/>
  <c r="AN55"/>
  <c r="AP55"/>
  <c r="AL55"/>
  <c r="AK55"/>
  <c r="AJ55"/>
  <c r="AH55"/>
  <c r="AG55"/>
  <c r="AF55"/>
  <c r="AE55"/>
  <c r="AD55"/>
  <c r="AC55"/>
  <c r="AB55"/>
  <c r="AA55"/>
  <c r="Z55"/>
  <c r="Y55"/>
  <c r="X55"/>
  <c r="W55"/>
  <c r="V55"/>
  <c r="U55"/>
  <c r="T55"/>
  <c r="S55"/>
  <c r="R55"/>
  <c r="Q55"/>
  <c r="P55"/>
  <c r="O55"/>
  <c r="N55"/>
  <c r="M55"/>
  <c r="L55"/>
  <c r="K55"/>
  <c r="J55"/>
  <c r="I55"/>
  <c r="H55"/>
  <c r="G55"/>
  <c r="F55"/>
  <c r="E55"/>
  <c r="D55"/>
  <c r="C55"/>
  <c r="AO54"/>
  <c r="AN54"/>
  <c r="AL54"/>
  <c r="AK54"/>
  <c r="AM54"/>
  <c r="AE54"/>
  <c r="AB54"/>
  <c r="AA54"/>
  <c r="Z54"/>
  <c r="Y54"/>
  <c r="X54"/>
  <c r="W54"/>
  <c r="V54"/>
  <c r="U54"/>
  <c r="T54"/>
  <c r="S54"/>
  <c r="R54"/>
  <c r="Q54"/>
  <c r="P54"/>
  <c r="O54"/>
  <c r="N54"/>
  <c r="M54"/>
  <c r="L54"/>
  <c r="K54"/>
  <c r="J54"/>
  <c r="I54"/>
  <c r="H54"/>
  <c r="G54"/>
  <c r="F54"/>
  <c r="E54"/>
  <c r="D54"/>
  <c r="C54"/>
  <c r="AO53"/>
  <c r="AN53"/>
  <c r="AL53"/>
  <c r="AK53"/>
  <c r="AE53"/>
  <c r="AB53"/>
  <c r="AA53"/>
  <c r="Z53"/>
  <c r="Y53"/>
  <c r="X53"/>
  <c r="W53"/>
  <c r="V53"/>
  <c r="U53"/>
  <c r="T53"/>
  <c r="S53"/>
  <c r="R53"/>
  <c r="Q53"/>
  <c r="P53"/>
  <c r="O53"/>
  <c r="N53"/>
  <c r="M53"/>
  <c r="L53"/>
  <c r="K53"/>
  <c r="J53"/>
  <c r="I53"/>
  <c r="H53"/>
  <c r="G53"/>
  <c r="F53"/>
  <c r="E53"/>
  <c r="D53"/>
  <c r="C53"/>
  <c r="AO52"/>
  <c r="AN52"/>
  <c r="AL52"/>
  <c r="AK52"/>
  <c r="AE52"/>
  <c r="AB52"/>
  <c r="AA52"/>
  <c r="Z52"/>
  <c r="Y52"/>
  <c r="X52"/>
  <c r="W52"/>
  <c r="V52"/>
  <c r="U52"/>
  <c r="T52"/>
  <c r="S52"/>
  <c r="R52"/>
  <c r="Q52"/>
  <c r="P52"/>
  <c r="N52"/>
  <c r="M52"/>
  <c r="L52"/>
  <c r="K52"/>
  <c r="J52"/>
  <c r="I52"/>
  <c r="H52"/>
  <c r="G52"/>
  <c r="F52"/>
  <c r="E52"/>
  <c r="D52"/>
  <c r="C52"/>
  <c r="AO51"/>
  <c r="AN51"/>
  <c r="AL51"/>
  <c r="AK51"/>
  <c r="AE51"/>
  <c r="AC51"/>
  <c r="AB51"/>
  <c r="AA51"/>
  <c r="Z51"/>
  <c r="Y51"/>
  <c r="X51"/>
  <c r="W51"/>
  <c r="V51"/>
  <c r="U51"/>
  <c r="T51"/>
  <c r="S51"/>
  <c r="R51"/>
  <c r="Q51"/>
  <c r="P51"/>
  <c r="O51"/>
  <c r="N51"/>
  <c r="M51"/>
  <c r="L51"/>
  <c r="K51"/>
  <c r="J51"/>
  <c r="I51"/>
  <c r="H51"/>
  <c r="G51"/>
  <c r="F51"/>
  <c r="E51"/>
  <c r="D51"/>
  <c r="C51"/>
  <c r="BF48"/>
  <c r="BT47"/>
  <c r="BS47"/>
  <c r="BR47"/>
  <c r="BQ47"/>
  <c r="BP47"/>
  <c r="BO47"/>
  <c r="BN47"/>
  <c r="BM47"/>
  <c r="BL47"/>
  <c r="BK47"/>
  <c r="BJ47"/>
  <c r="BI47"/>
  <c r="BH47"/>
  <c r="BD47"/>
  <c r="BC47"/>
  <c r="BB47"/>
  <c r="AZ47"/>
  <c r="AY47"/>
  <c r="AX47"/>
  <c r="AW47"/>
  <c r="AV47"/>
  <c r="AU47"/>
  <c r="AT47"/>
  <c r="AE47"/>
  <c r="AB47"/>
  <c r="AA47"/>
  <c r="Z47"/>
  <c r="Y47"/>
  <c r="X47"/>
  <c r="W47"/>
  <c r="BU46"/>
  <c r="BE46"/>
  <c r="AR46"/>
  <c r="AQ46"/>
  <c r="BF46"/>
  <c r="AJ46"/>
  <c r="AI46"/>
  <c r="AH46"/>
  <c r="AG46"/>
  <c r="BU38"/>
  <c r="BG38"/>
  <c r="BE38"/>
  <c r="AR38"/>
  <c r="AQ38"/>
  <c r="BF38"/>
  <c r="AP38"/>
  <c r="AM38"/>
  <c r="AJ38"/>
  <c r="AI38"/>
  <c r="AH38"/>
  <c r="AG38"/>
  <c r="AF38"/>
  <c r="AD38"/>
  <c r="AC38"/>
  <c r="BU37"/>
  <c r="BG37"/>
  <c r="BE37"/>
  <c r="AR37"/>
  <c r="AQ37"/>
  <c r="BF37"/>
  <c r="AP37"/>
  <c r="AM37"/>
  <c r="AJ37"/>
  <c r="AI37"/>
  <c r="AH37"/>
  <c r="AG37"/>
  <c r="AF37"/>
  <c r="AD37"/>
  <c r="AC37"/>
  <c r="BU36"/>
  <c r="BG36"/>
  <c r="BE36"/>
  <c r="AR36"/>
  <c r="AQ36"/>
  <c r="BF36"/>
  <c r="AP36"/>
  <c r="AM36"/>
  <c r="AJ36"/>
  <c r="AI36"/>
  <c r="AH36"/>
  <c r="AG36"/>
  <c r="AF36"/>
  <c r="AD36"/>
  <c r="AC36"/>
  <c r="BU35"/>
  <c r="BG35"/>
  <c r="BE35"/>
  <c r="AR35"/>
  <c r="AQ35"/>
  <c r="BF35"/>
  <c r="AP35"/>
  <c r="AM35"/>
  <c r="AJ35"/>
  <c r="AI35"/>
  <c r="AH35"/>
  <c r="AG35"/>
  <c r="AF35"/>
  <c r="AD35"/>
  <c r="AC35"/>
  <c r="BU34"/>
  <c r="BG34"/>
  <c r="BE34"/>
  <c r="AR34"/>
  <c r="AQ34"/>
  <c r="BF34"/>
  <c r="AP34"/>
  <c r="AM34"/>
  <c r="AJ34"/>
  <c r="AI34"/>
  <c r="AH34"/>
  <c r="AG34"/>
  <c r="AF34"/>
  <c r="AD34"/>
  <c r="AC34"/>
  <c r="BU33"/>
  <c r="BG33"/>
  <c r="BE33"/>
  <c r="AR33"/>
  <c r="AQ33"/>
  <c r="BF33"/>
  <c r="AP33"/>
  <c r="AM33"/>
  <c r="AJ33"/>
  <c r="AI33"/>
  <c r="AH33"/>
  <c r="AG33"/>
  <c r="AF33"/>
  <c r="AD33"/>
  <c r="AC33"/>
  <c r="BU32"/>
  <c r="BG32"/>
  <c r="BE32"/>
  <c r="AR32"/>
  <c r="AQ32"/>
  <c r="BF32"/>
  <c r="AP32"/>
  <c r="AM32"/>
  <c r="AJ32"/>
  <c r="AI32"/>
  <c r="AH32"/>
  <c r="AG32"/>
  <c r="AF32"/>
  <c r="AD32"/>
  <c r="AC32"/>
  <c r="BU31"/>
  <c r="BG31"/>
  <c r="BE31"/>
  <c r="AR31"/>
  <c r="AQ31"/>
  <c r="BF31"/>
  <c r="AP31"/>
  <c r="AM31"/>
  <c r="AJ31"/>
  <c r="AI31"/>
  <c r="AH31"/>
  <c r="AG31"/>
  <c r="AF31"/>
  <c r="AD31"/>
  <c r="AC31"/>
  <c r="BU30"/>
  <c r="BG30"/>
  <c r="BE30"/>
  <c r="AR30"/>
  <c r="AQ30"/>
  <c r="BF30"/>
  <c r="AP30"/>
  <c r="AM30"/>
  <c r="AJ30"/>
  <c r="AI30"/>
  <c r="AH30"/>
  <c r="AG30"/>
  <c r="AF30"/>
  <c r="AD30"/>
  <c r="AC30"/>
  <c r="BU29"/>
  <c r="BG29"/>
  <c r="BE29"/>
  <c r="AR29"/>
  <c r="AQ29"/>
  <c r="BF29"/>
  <c r="AP29"/>
  <c r="AM29"/>
  <c r="AJ29"/>
  <c r="AI29"/>
  <c r="AH29"/>
  <c r="AG29"/>
  <c r="AF29"/>
  <c r="AD29"/>
  <c r="AC29"/>
  <c r="BU28"/>
  <c r="BG28"/>
  <c r="BE28"/>
  <c r="AR28"/>
  <c r="AQ28"/>
  <c r="BF28"/>
  <c r="AP28"/>
  <c r="AM28"/>
  <c r="AJ28"/>
  <c r="AI28"/>
  <c r="AH28"/>
  <c r="AG28"/>
  <c r="AF28"/>
  <c r="AD28"/>
  <c r="AC28"/>
  <c r="BU27"/>
  <c r="BG27"/>
  <c r="BE27"/>
  <c r="BE50"/>
  <c r="AR27"/>
  <c r="AQ27"/>
  <c r="BF27"/>
  <c r="AP27"/>
  <c r="AM27"/>
  <c r="AJ27"/>
  <c r="AI27"/>
  <c r="AI55"/>
  <c r="AH27"/>
  <c r="AG27"/>
  <c r="AF27"/>
  <c r="AD27"/>
  <c r="AC27"/>
  <c r="BU26"/>
  <c r="BG26"/>
  <c r="BE26"/>
  <c r="AR26"/>
  <c r="AQ26"/>
  <c r="BF26"/>
  <c r="AP26"/>
  <c r="AM26"/>
  <c r="AJ26"/>
  <c r="AI26"/>
  <c r="AH26"/>
  <c r="AG26"/>
  <c r="AF26"/>
  <c r="AD26"/>
  <c r="AC26"/>
  <c r="AC54"/>
  <c r="BU25"/>
  <c r="BG25"/>
  <c r="BE25"/>
  <c r="AR25"/>
  <c r="AQ25"/>
  <c r="BF25"/>
  <c r="AP25"/>
  <c r="AM25"/>
  <c r="AJ25"/>
  <c r="AI25"/>
  <c r="AH25"/>
  <c r="AG25"/>
  <c r="AF25"/>
  <c r="AC25"/>
  <c r="BU24"/>
  <c r="BG24"/>
  <c r="BE24"/>
  <c r="AR24"/>
  <c r="AQ24"/>
  <c r="BF24"/>
  <c r="AP24"/>
  <c r="AM24"/>
  <c r="AJ24"/>
  <c r="AI24"/>
  <c r="AH24"/>
  <c r="AG24"/>
  <c r="AF24"/>
  <c r="AD24"/>
  <c r="AC24"/>
  <c r="BU23"/>
  <c r="BG23"/>
  <c r="BE23"/>
  <c r="AR23"/>
  <c r="AQ23"/>
  <c r="BF23"/>
  <c r="AP23"/>
  <c r="AM23"/>
  <c r="AJ23"/>
  <c r="AI23"/>
  <c r="AH23"/>
  <c r="AG23"/>
  <c r="AF23"/>
  <c r="AD23"/>
  <c r="AC23"/>
  <c r="BU22"/>
  <c r="BG22"/>
  <c r="BE22"/>
  <c r="AR22"/>
  <c r="AQ22"/>
  <c r="BF22"/>
  <c r="AP22"/>
  <c r="AM22"/>
  <c r="AJ22"/>
  <c r="AI22"/>
  <c r="AH22"/>
  <c r="AG22"/>
  <c r="AF22"/>
  <c r="AD22"/>
  <c r="AC22"/>
  <c r="BU21"/>
  <c r="BG21"/>
  <c r="BE21"/>
  <c r="AR21"/>
  <c r="AQ21"/>
  <c r="BF21"/>
  <c r="AP21"/>
  <c r="AM21"/>
  <c r="AJ21"/>
  <c r="AI21"/>
  <c r="AH21"/>
  <c r="AG21"/>
  <c r="AF21"/>
  <c r="AD21"/>
  <c r="AC21"/>
  <c r="BU20"/>
  <c r="BG20"/>
  <c r="BE20"/>
  <c r="AR20"/>
  <c r="AQ20"/>
  <c r="BF20"/>
  <c r="AP20"/>
  <c r="AM20"/>
  <c r="AJ20"/>
  <c r="AI20"/>
  <c r="AH20"/>
  <c r="AG20"/>
  <c r="AF20"/>
  <c r="AD20"/>
  <c r="AC20"/>
  <c r="BU19"/>
  <c r="BG19"/>
  <c r="BE19"/>
  <c r="AR19"/>
  <c r="AQ19"/>
  <c r="BF19"/>
  <c r="AP19"/>
  <c r="AM19"/>
  <c r="AJ19"/>
  <c r="AI19"/>
  <c r="AH19"/>
  <c r="AG19"/>
  <c r="AF19"/>
  <c r="AD19"/>
  <c r="AC19"/>
  <c r="BU18"/>
  <c r="BG18"/>
  <c r="BE18"/>
  <c r="AR18"/>
  <c r="AQ18"/>
  <c r="BF18"/>
  <c r="AP18"/>
  <c r="AM18"/>
  <c r="AJ18"/>
  <c r="AI18"/>
  <c r="AH18"/>
  <c r="AG18"/>
  <c r="AF18"/>
  <c r="AD18"/>
  <c r="AC18"/>
  <c r="BU17"/>
  <c r="BG17"/>
  <c r="BE17"/>
  <c r="AR17"/>
  <c r="AQ17"/>
  <c r="BF17"/>
  <c r="AP17"/>
  <c r="AM17"/>
  <c r="AJ17"/>
  <c r="AI17"/>
  <c r="AH17"/>
  <c r="AG17"/>
  <c r="AF17"/>
  <c r="AD17"/>
  <c r="AC17"/>
  <c r="BU16"/>
  <c r="BG16"/>
  <c r="BE16"/>
  <c r="AQ16"/>
  <c r="BF16"/>
  <c r="AP16"/>
  <c r="AM16"/>
  <c r="AJ16"/>
  <c r="AI16"/>
  <c r="AH16"/>
  <c r="AG16"/>
  <c r="AF16"/>
  <c r="AD16"/>
  <c r="AC16"/>
  <c r="BU15"/>
  <c r="BG15"/>
  <c r="BE15"/>
  <c r="AQ15"/>
  <c r="BF15"/>
  <c r="AP15"/>
  <c r="AM15"/>
  <c r="AJ15"/>
  <c r="AI15"/>
  <c r="AH15"/>
  <c r="AG15"/>
  <c r="AF15"/>
  <c r="AD15"/>
  <c r="AC15"/>
  <c r="BU14"/>
  <c r="BG14"/>
  <c r="BE14"/>
  <c r="AQ14"/>
  <c r="BF14"/>
  <c r="AP14"/>
  <c r="AM14"/>
  <c r="AJ14"/>
  <c r="AI14"/>
  <c r="AH14"/>
  <c r="AG14"/>
  <c r="AF14"/>
  <c r="AD14"/>
  <c r="AC14"/>
  <c r="BU13"/>
  <c r="BG13"/>
  <c r="BE13"/>
  <c r="AQ13"/>
  <c r="BF13"/>
  <c r="AP13"/>
  <c r="AM13"/>
  <c r="AJ13"/>
  <c r="AI13"/>
  <c r="AH13"/>
  <c r="AG13"/>
  <c r="AF13"/>
  <c r="AD13"/>
  <c r="AC13"/>
  <c r="BU12"/>
  <c r="BG12"/>
  <c r="BE12"/>
  <c r="AQ12"/>
  <c r="AP12"/>
  <c r="AM12"/>
  <c r="AJ12"/>
  <c r="AI12"/>
  <c r="AG12"/>
  <c r="AD12"/>
  <c r="AC12"/>
  <c r="BU11"/>
  <c r="BG11"/>
  <c r="BE11"/>
  <c r="AR11"/>
  <c r="AQ11"/>
  <c r="BF11"/>
  <c r="AP11"/>
  <c r="AM11"/>
  <c r="AJ11"/>
  <c r="AI11"/>
  <c r="AH11"/>
  <c r="AG11"/>
  <c r="AF11"/>
  <c r="AD11"/>
  <c r="AC11"/>
  <c r="BU10"/>
  <c r="BE10"/>
  <c r="AR10"/>
  <c r="AQ10"/>
  <c r="BF10"/>
  <c r="AP10"/>
  <c r="AM10"/>
  <c r="AJ10"/>
  <c r="AI10"/>
  <c r="AH10"/>
  <c r="AG10"/>
  <c r="AF10"/>
  <c r="AD10"/>
  <c r="AC10"/>
  <c r="BU9"/>
  <c r="BE9"/>
  <c r="AR9"/>
  <c r="AQ9"/>
  <c r="BF9"/>
  <c r="AP9"/>
  <c r="AM9"/>
  <c r="AJ9"/>
  <c r="AI9"/>
  <c r="AH9"/>
  <c r="AG9"/>
  <c r="AF9"/>
  <c r="AD9"/>
  <c r="AC9"/>
  <c r="BU8"/>
  <c r="BE8"/>
  <c r="AR8"/>
  <c r="AQ8"/>
  <c r="BF8"/>
  <c r="AP8"/>
  <c r="AM8"/>
  <c r="AJ8"/>
  <c r="AI8"/>
  <c r="AH8"/>
  <c r="AG8"/>
  <c r="AF8"/>
  <c r="AD8"/>
  <c r="AC8"/>
  <c r="BU7"/>
  <c r="BE7"/>
  <c r="AR7"/>
  <c r="AQ7"/>
  <c r="BF7"/>
  <c r="AP7"/>
  <c r="AM7"/>
  <c r="AJ7"/>
  <c r="AI7"/>
  <c r="AH7"/>
  <c r="AG7"/>
  <c r="AF7"/>
  <c r="AD7"/>
  <c r="AC7"/>
  <c r="BU6"/>
  <c r="BE6"/>
  <c r="AR6"/>
  <c r="AQ6"/>
  <c r="BF6"/>
  <c r="AP6"/>
  <c r="AM6"/>
  <c r="AJ6"/>
  <c r="AI6"/>
  <c r="AH6"/>
  <c r="AG6"/>
  <c r="AF6"/>
  <c r="AD6"/>
  <c r="AC6"/>
  <c r="BU5"/>
  <c r="BE5"/>
  <c r="AR5"/>
  <c r="AQ5"/>
  <c r="BF5"/>
  <c r="AP5"/>
  <c r="AM5"/>
  <c r="AJ5"/>
  <c r="AI5"/>
  <c r="AH5"/>
  <c r="AG5"/>
  <c r="AF5"/>
  <c r="AD5"/>
  <c r="AC5"/>
  <c r="BV38" i="7"/>
  <c r="AM55" i="8"/>
  <c r="AP54"/>
  <c r="AD54"/>
  <c r="AG54"/>
  <c r="AI54"/>
  <c r="AH54"/>
  <c r="AF53"/>
  <c r="AR47"/>
  <c r="AC53"/>
  <c r="AJ53"/>
  <c r="AI53"/>
  <c r="AD53"/>
  <c r="AM53"/>
  <c r="AP52"/>
  <c r="AH52"/>
  <c r="AI52"/>
  <c r="AC52"/>
  <c r="AG52"/>
  <c r="AP47"/>
  <c r="AC47"/>
  <c r="AD52"/>
  <c r="AM47"/>
  <c r="AM52"/>
  <c r="AI47"/>
  <c r="AG47"/>
  <c r="AP53"/>
  <c r="AF52"/>
  <c r="AF54"/>
  <c r="AH53"/>
  <c r="AD47"/>
  <c r="AQ52"/>
  <c r="AG53"/>
  <c r="AJ54"/>
  <c r="AJ52"/>
  <c r="BE47"/>
  <c r="BG47"/>
  <c r="AJ47"/>
  <c r="AP51"/>
  <c r="AM51"/>
  <c r="AF47"/>
  <c r="AH51"/>
  <c r="AJ51"/>
  <c r="AD51"/>
  <c r="AI51"/>
  <c r="AQ51"/>
  <c r="AH47"/>
  <c r="AG51"/>
  <c r="AF51"/>
  <c r="BF12"/>
  <c r="AQ54"/>
  <c r="AQ53"/>
  <c r="BV28" i="7"/>
  <c r="BV29"/>
  <c r="BV30"/>
  <c r="BV31"/>
  <c r="BV32"/>
  <c r="BV33"/>
  <c r="BV34"/>
  <c r="BV35"/>
  <c r="BV36"/>
  <c r="BV37"/>
  <c r="AQ47" i="8"/>
  <c r="BF47"/>
  <c r="AC23" i="7"/>
  <c r="AH18"/>
  <c r="AR17"/>
  <c r="AR18"/>
  <c r="AR19"/>
  <c r="AR20"/>
  <c r="BW12"/>
  <c r="S99"/>
  <c r="Q96"/>
  <c r="Q95"/>
  <c r="BZ40"/>
  <c r="CA40"/>
  <c r="BW40"/>
  <c r="BX40"/>
  <c r="BP40"/>
  <c r="BQ40"/>
  <c r="BR40"/>
  <c r="BS40"/>
  <c r="BT40"/>
  <c r="BL40"/>
  <c r="BM40"/>
  <c r="BN40"/>
  <c r="BO40"/>
  <c r="BK40"/>
  <c r="BJ40"/>
  <c r="BI40"/>
  <c r="BH40"/>
  <c r="BD40"/>
  <c r="BC40"/>
  <c r="BB40"/>
  <c r="AZ40"/>
  <c r="AU40"/>
  <c r="AV40"/>
  <c r="AW40"/>
  <c r="AX40"/>
  <c r="AY40"/>
  <c r="AT40"/>
  <c r="AO40"/>
  <c r="AN40"/>
  <c r="AL40"/>
  <c r="AK40"/>
  <c r="AE40"/>
  <c r="AB40"/>
  <c r="AA40"/>
  <c r="Z40"/>
  <c r="Y40"/>
  <c r="X40"/>
  <c r="W40"/>
  <c r="V40"/>
  <c r="S40"/>
  <c r="T40"/>
  <c r="R40"/>
  <c r="Q40"/>
  <c r="P40"/>
  <c r="O40"/>
  <c r="N40"/>
  <c r="M40"/>
  <c r="L40"/>
  <c r="K40"/>
  <c r="J40"/>
  <c r="I40"/>
  <c r="H40"/>
  <c r="G40"/>
  <c r="F40"/>
  <c r="E40"/>
  <c r="D40"/>
  <c r="C40"/>
  <c r="BU11"/>
  <c r="BG11"/>
  <c r="BE11"/>
  <c r="AR11"/>
  <c r="AQ11"/>
  <c r="BF11"/>
  <c r="AP11"/>
  <c r="AM11"/>
  <c r="AJ11"/>
  <c r="AI11"/>
  <c r="AH11"/>
  <c r="AG11"/>
  <c r="AF11"/>
  <c r="AD11"/>
  <c r="AD44"/>
  <c r="AC11"/>
  <c r="BU10"/>
  <c r="BG10"/>
  <c r="BE10"/>
  <c r="AR10"/>
  <c r="AQ10"/>
  <c r="BF10"/>
  <c r="AP10"/>
  <c r="AM10"/>
  <c r="AJ10"/>
  <c r="AI10"/>
  <c r="AH10"/>
  <c r="AG10"/>
  <c r="AF10"/>
  <c r="AD10"/>
  <c r="AC10"/>
  <c r="BU9"/>
  <c r="BG9"/>
  <c r="BE9"/>
  <c r="AR9"/>
  <c r="AQ9"/>
  <c r="BF9"/>
  <c r="AP9"/>
  <c r="AM9"/>
  <c r="AJ9"/>
  <c r="AI9"/>
  <c r="AH9"/>
  <c r="AG9"/>
  <c r="AF9"/>
  <c r="AD9"/>
  <c r="AC9"/>
  <c r="BU8"/>
  <c r="BG8"/>
  <c r="BE8"/>
  <c r="AR8"/>
  <c r="AQ8"/>
  <c r="BF8"/>
  <c r="AP8"/>
  <c r="AM8"/>
  <c r="AJ8"/>
  <c r="AI8"/>
  <c r="AH8"/>
  <c r="AG8"/>
  <c r="AF8"/>
  <c r="AD8"/>
  <c r="AC8"/>
  <c r="BU7"/>
  <c r="BG7"/>
  <c r="BE7"/>
  <c r="AR7"/>
  <c r="AQ7"/>
  <c r="BF7"/>
  <c r="AP7"/>
  <c r="AM7"/>
  <c r="AJ7"/>
  <c r="AI7"/>
  <c r="AH7"/>
  <c r="AG7"/>
  <c r="AF7"/>
  <c r="AD7"/>
  <c r="AC7"/>
  <c r="BU6"/>
  <c r="BG6"/>
  <c r="BE6"/>
  <c r="AR6"/>
  <c r="AQ6"/>
  <c r="BF6"/>
  <c r="AP6"/>
  <c r="AM6"/>
  <c r="AJ6"/>
  <c r="AI6"/>
  <c r="AH6"/>
  <c r="AG6"/>
  <c r="AF6"/>
  <c r="AD6"/>
  <c r="AC6"/>
  <c r="BU5"/>
  <c r="BG5"/>
  <c r="BE5"/>
  <c r="AR5"/>
  <c r="AQ5"/>
  <c r="BF5"/>
  <c r="AP5"/>
  <c r="AM5"/>
  <c r="AJ5"/>
  <c r="AI5"/>
  <c r="AH5"/>
  <c r="AG5"/>
  <c r="AF5"/>
  <c r="AD5"/>
  <c r="AC5"/>
  <c r="AQ48"/>
  <c r="AO48"/>
  <c r="AP48"/>
  <c r="AN48"/>
  <c r="AL48"/>
  <c r="AK48"/>
  <c r="AM48"/>
  <c r="AJ48"/>
  <c r="AH48"/>
  <c r="AG48"/>
  <c r="AF48"/>
  <c r="AE48"/>
  <c r="AD48"/>
  <c r="AC48"/>
  <c r="AB48"/>
  <c r="AA48"/>
  <c r="Z48"/>
  <c r="Y48"/>
  <c r="X48"/>
  <c r="W48"/>
  <c r="V48"/>
  <c r="U48"/>
  <c r="T48"/>
  <c r="S48"/>
  <c r="R48"/>
  <c r="Q48"/>
  <c r="P48"/>
  <c r="O48"/>
  <c r="N48"/>
  <c r="M48"/>
  <c r="L48"/>
  <c r="K48"/>
  <c r="J48"/>
  <c r="I48"/>
  <c r="H48"/>
  <c r="G48"/>
  <c r="F48"/>
  <c r="E48"/>
  <c r="D48"/>
  <c r="C48"/>
  <c r="AO47"/>
  <c r="AN47"/>
  <c r="AL47"/>
  <c r="AK47"/>
  <c r="AE47"/>
  <c r="AB47"/>
  <c r="AA47"/>
  <c r="Z47"/>
  <c r="Y47"/>
  <c r="X47"/>
  <c r="W47"/>
  <c r="V47"/>
  <c r="U47"/>
  <c r="T47"/>
  <c r="S47"/>
  <c r="R47"/>
  <c r="Q47"/>
  <c r="P47"/>
  <c r="O47"/>
  <c r="N47"/>
  <c r="M47"/>
  <c r="L47"/>
  <c r="K47"/>
  <c r="J47"/>
  <c r="I47"/>
  <c r="H47"/>
  <c r="G47"/>
  <c r="F47"/>
  <c r="E47"/>
  <c r="D47"/>
  <c r="C47"/>
  <c r="AO46"/>
  <c r="AN46"/>
  <c r="AL46"/>
  <c r="AK46"/>
  <c r="AE46"/>
  <c r="AB46"/>
  <c r="AA46"/>
  <c r="Z46"/>
  <c r="Y46"/>
  <c r="X46"/>
  <c r="W46"/>
  <c r="V46"/>
  <c r="U46"/>
  <c r="T46"/>
  <c r="S46"/>
  <c r="R46"/>
  <c r="Q46"/>
  <c r="P46"/>
  <c r="O46"/>
  <c r="N46"/>
  <c r="M46"/>
  <c r="L46"/>
  <c r="K46"/>
  <c r="J46"/>
  <c r="I46"/>
  <c r="H46"/>
  <c r="G46"/>
  <c r="F46"/>
  <c r="E46"/>
  <c r="D46"/>
  <c r="C46"/>
  <c r="AO45"/>
  <c r="AN45"/>
  <c r="AL45"/>
  <c r="AK45"/>
  <c r="AE45"/>
  <c r="AB45"/>
  <c r="AA45"/>
  <c r="Z45"/>
  <c r="Y45"/>
  <c r="X45"/>
  <c r="W45"/>
  <c r="V45"/>
  <c r="U45"/>
  <c r="T45"/>
  <c r="S45"/>
  <c r="R45"/>
  <c r="Q45"/>
  <c r="P45"/>
  <c r="N45"/>
  <c r="M45"/>
  <c r="L45"/>
  <c r="K45"/>
  <c r="J45"/>
  <c r="I45"/>
  <c r="H45"/>
  <c r="G45"/>
  <c r="F45"/>
  <c r="E45"/>
  <c r="D45"/>
  <c r="C45"/>
  <c r="AO44"/>
  <c r="AN44"/>
  <c r="AL44"/>
  <c r="AK44"/>
  <c r="AE44"/>
  <c r="AC44"/>
  <c r="AB44"/>
  <c r="AA44"/>
  <c r="Z44"/>
  <c r="Y44"/>
  <c r="X44"/>
  <c r="W44"/>
  <c r="V44"/>
  <c r="U44"/>
  <c r="T44"/>
  <c r="S44"/>
  <c r="R44"/>
  <c r="Q44"/>
  <c r="P44"/>
  <c r="O44"/>
  <c r="N44"/>
  <c r="M44"/>
  <c r="L44"/>
  <c r="K44"/>
  <c r="J44"/>
  <c r="I44"/>
  <c r="H44"/>
  <c r="G44"/>
  <c r="F44"/>
  <c r="E44"/>
  <c r="D44"/>
  <c r="C44"/>
  <c r="BF41"/>
  <c r="BU39"/>
  <c r="BG39"/>
  <c r="BF39"/>
  <c r="BE39"/>
  <c r="AR39"/>
  <c r="AQ39"/>
  <c r="AP39"/>
  <c r="AM39"/>
  <c r="AJ39"/>
  <c r="AI39"/>
  <c r="AH39"/>
  <c r="AG39"/>
  <c r="AF39"/>
  <c r="AD39"/>
  <c r="AC39"/>
  <c r="BU38"/>
  <c r="BG38"/>
  <c r="BE38"/>
  <c r="AR38"/>
  <c r="AQ38"/>
  <c r="BF38"/>
  <c r="AP38"/>
  <c r="AM38"/>
  <c r="AJ38"/>
  <c r="AI38"/>
  <c r="AH38"/>
  <c r="AG38"/>
  <c r="AF38"/>
  <c r="AD38"/>
  <c r="AC38"/>
  <c r="BU37"/>
  <c r="BG37"/>
  <c r="BE37"/>
  <c r="AR37"/>
  <c r="AQ37"/>
  <c r="BF37"/>
  <c r="AP37"/>
  <c r="AM37"/>
  <c r="AJ37"/>
  <c r="AI37"/>
  <c r="AH37"/>
  <c r="AG37"/>
  <c r="AF37"/>
  <c r="AD37"/>
  <c r="AC37"/>
  <c r="BU36"/>
  <c r="BG36"/>
  <c r="BE36"/>
  <c r="AR36"/>
  <c r="AQ36"/>
  <c r="BF36"/>
  <c r="AP36"/>
  <c r="AM36"/>
  <c r="AJ36"/>
  <c r="AI36"/>
  <c r="AH36"/>
  <c r="AG36"/>
  <c r="AF36"/>
  <c r="AD36"/>
  <c r="AC36"/>
  <c r="BU35"/>
  <c r="BG35"/>
  <c r="BE35"/>
  <c r="AR35"/>
  <c r="AQ35"/>
  <c r="BF35"/>
  <c r="AP35"/>
  <c r="AM35"/>
  <c r="AJ35"/>
  <c r="AI35"/>
  <c r="AH35"/>
  <c r="AG35"/>
  <c r="AF35"/>
  <c r="AD35"/>
  <c r="AC35"/>
  <c r="BU34"/>
  <c r="BG34"/>
  <c r="BE34"/>
  <c r="AR34"/>
  <c r="AQ34"/>
  <c r="BF34"/>
  <c r="AP34"/>
  <c r="AM34"/>
  <c r="AJ34"/>
  <c r="AI34"/>
  <c r="AH34"/>
  <c r="AG34"/>
  <c r="AF34"/>
  <c r="AD34"/>
  <c r="AC34"/>
  <c r="BU33"/>
  <c r="BG33"/>
  <c r="BE33"/>
  <c r="AR33"/>
  <c r="AQ33"/>
  <c r="BF33"/>
  <c r="AP33"/>
  <c r="AM33"/>
  <c r="AJ33"/>
  <c r="AI33"/>
  <c r="AH33"/>
  <c r="AG33"/>
  <c r="AF33"/>
  <c r="AD33"/>
  <c r="AC33"/>
  <c r="BU32"/>
  <c r="BG32"/>
  <c r="BE32"/>
  <c r="AR32"/>
  <c r="AQ32"/>
  <c r="BF32"/>
  <c r="AP32"/>
  <c r="AM32"/>
  <c r="AJ32"/>
  <c r="AI32"/>
  <c r="AH32"/>
  <c r="AG32"/>
  <c r="AF32"/>
  <c r="AD32"/>
  <c r="AC32"/>
  <c r="BU31"/>
  <c r="BG31"/>
  <c r="BE31"/>
  <c r="AR31"/>
  <c r="AQ31"/>
  <c r="BF31"/>
  <c r="AP31"/>
  <c r="AM31"/>
  <c r="AJ31"/>
  <c r="AI31"/>
  <c r="AH31"/>
  <c r="AG31"/>
  <c r="AF31"/>
  <c r="AD31"/>
  <c r="AC31"/>
  <c r="BU30"/>
  <c r="BG30"/>
  <c r="BE30"/>
  <c r="AR30"/>
  <c r="AQ30"/>
  <c r="BF30"/>
  <c r="AP30"/>
  <c r="AM30"/>
  <c r="AJ30"/>
  <c r="AI30"/>
  <c r="AH30"/>
  <c r="AG30"/>
  <c r="AF30"/>
  <c r="AD30"/>
  <c r="AC30"/>
  <c r="BU29"/>
  <c r="BG29"/>
  <c r="BE29"/>
  <c r="AR29"/>
  <c r="AQ29"/>
  <c r="BF29"/>
  <c r="AP29"/>
  <c r="AM29"/>
  <c r="AJ29"/>
  <c r="AI29"/>
  <c r="AH29"/>
  <c r="AG29"/>
  <c r="AF29"/>
  <c r="AD29"/>
  <c r="AC29"/>
  <c r="BU28"/>
  <c r="BG28"/>
  <c r="BE28"/>
  <c r="AR28"/>
  <c r="AQ28"/>
  <c r="BF28"/>
  <c r="AP28"/>
  <c r="AM28"/>
  <c r="AJ28"/>
  <c r="AI28"/>
  <c r="AH28"/>
  <c r="AG28"/>
  <c r="AF28"/>
  <c r="AD28"/>
  <c r="AC28"/>
  <c r="BV27"/>
  <c r="BU27"/>
  <c r="BG27"/>
  <c r="BE27"/>
  <c r="AR27"/>
  <c r="AQ27"/>
  <c r="BF27"/>
  <c r="AP27"/>
  <c r="AM27"/>
  <c r="AJ27"/>
  <c r="AI27"/>
  <c r="AI48"/>
  <c r="AH27"/>
  <c r="AG27"/>
  <c r="AF27"/>
  <c r="AD27"/>
  <c r="AC27"/>
  <c r="BV26"/>
  <c r="BU26"/>
  <c r="BG26"/>
  <c r="BE26"/>
  <c r="AR26"/>
  <c r="AQ26"/>
  <c r="BF26"/>
  <c r="AP26"/>
  <c r="AM26"/>
  <c r="AJ26"/>
  <c r="AI26"/>
  <c r="AH26"/>
  <c r="AG26"/>
  <c r="AF26"/>
  <c r="AD26"/>
  <c r="AC26"/>
  <c r="BV25"/>
  <c r="BU25"/>
  <c r="BG25"/>
  <c r="BE25"/>
  <c r="AR25"/>
  <c r="AQ25"/>
  <c r="BF25"/>
  <c r="AP25"/>
  <c r="AM25"/>
  <c r="AJ25"/>
  <c r="AI25"/>
  <c r="AH25"/>
  <c r="AG25"/>
  <c r="AF25"/>
  <c r="AD25"/>
  <c r="AC25"/>
  <c r="BV24"/>
  <c r="BU24"/>
  <c r="BG24"/>
  <c r="BE24"/>
  <c r="AR24"/>
  <c r="AQ24"/>
  <c r="BF24"/>
  <c r="AP24"/>
  <c r="AM24"/>
  <c r="AJ24"/>
  <c r="AI24"/>
  <c r="AH24"/>
  <c r="AG24"/>
  <c r="AF24"/>
  <c r="AD24"/>
  <c r="AC24"/>
  <c r="BV23"/>
  <c r="BU23"/>
  <c r="BG23"/>
  <c r="BE23"/>
  <c r="AR23"/>
  <c r="AQ23"/>
  <c r="BF23"/>
  <c r="AP23"/>
  <c r="AM23"/>
  <c r="AJ23"/>
  <c r="AI23"/>
  <c r="AH23"/>
  <c r="AG23"/>
  <c r="AF23"/>
  <c r="AD23"/>
  <c r="BV22"/>
  <c r="BU22"/>
  <c r="BG22"/>
  <c r="BE22"/>
  <c r="AR22"/>
  <c r="AQ22"/>
  <c r="BF22"/>
  <c r="AP22"/>
  <c r="AM22"/>
  <c r="AJ22"/>
  <c r="AI22"/>
  <c r="AH22"/>
  <c r="AG22"/>
  <c r="AF22"/>
  <c r="AD22"/>
  <c r="AC22"/>
  <c r="BV21"/>
  <c r="BU21"/>
  <c r="BG21"/>
  <c r="BE21"/>
  <c r="AR21"/>
  <c r="AQ21"/>
  <c r="BF21"/>
  <c r="AP21"/>
  <c r="AM21"/>
  <c r="AJ21"/>
  <c r="AI21"/>
  <c r="AH21"/>
  <c r="AG21"/>
  <c r="AF21"/>
  <c r="AD21"/>
  <c r="AC21"/>
  <c r="BV20"/>
  <c r="BU20"/>
  <c r="BG20"/>
  <c r="BE20"/>
  <c r="AQ20"/>
  <c r="BF20"/>
  <c r="AP20"/>
  <c r="AM20"/>
  <c r="AJ20"/>
  <c r="AI20"/>
  <c r="AH20"/>
  <c r="AG20"/>
  <c r="AF20"/>
  <c r="AD20"/>
  <c r="AC20"/>
  <c r="BV19"/>
  <c r="BU19"/>
  <c r="BG19"/>
  <c r="BE19"/>
  <c r="AQ19"/>
  <c r="AP19"/>
  <c r="AM19"/>
  <c r="AJ19"/>
  <c r="AI19"/>
  <c r="AH19"/>
  <c r="AG19"/>
  <c r="AF19"/>
  <c r="AD19"/>
  <c r="AC19"/>
  <c r="BV18"/>
  <c r="BU18"/>
  <c r="BG18"/>
  <c r="BE18"/>
  <c r="AQ18"/>
  <c r="BF18"/>
  <c r="AP18"/>
  <c r="AM18"/>
  <c r="AJ18"/>
  <c r="AI18"/>
  <c r="AG18"/>
  <c r="AF18"/>
  <c r="AD18"/>
  <c r="AC18"/>
  <c r="BV17"/>
  <c r="BU17"/>
  <c r="BG17"/>
  <c r="BE17"/>
  <c r="AQ17"/>
  <c r="BF17"/>
  <c r="AP17"/>
  <c r="AM17"/>
  <c r="AJ17"/>
  <c r="AI17"/>
  <c r="AH17"/>
  <c r="AG17"/>
  <c r="AF17"/>
  <c r="AD17"/>
  <c r="AC17"/>
  <c r="BV16"/>
  <c r="BU16"/>
  <c r="BG16"/>
  <c r="BE16"/>
  <c r="AR16"/>
  <c r="AQ16"/>
  <c r="BF16"/>
  <c r="AP16"/>
  <c r="AM16"/>
  <c r="AJ16"/>
  <c r="AI16"/>
  <c r="AH16"/>
  <c r="AG16"/>
  <c r="AF16"/>
  <c r="AD16"/>
  <c r="AC16"/>
  <c r="BV15"/>
  <c r="BU15"/>
  <c r="BG15"/>
  <c r="BE15"/>
  <c r="AR15"/>
  <c r="AQ15"/>
  <c r="BF15"/>
  <c r="AP15"/>
  <c r="AM15"/>
  <c r="AJ15"/>
  <c r="AI15"/>
  <c r="AH15"/>
  <c r="AG15"/>
  <c r="AF15"/>
  <c r="AD15"/>
  <c r="AC15"/>
  <c r="BV14"/>
  <c r="BU14"/>
  <c r="BG14"/>
  <c r="BE14"/>
  <c r="AR14"/>
  <c r="AQ14"/>
  <c r="BF14"/>
  <c r="AP14"/>
  <c r="AM14"/>
  <c r="AJ14"/>
  <c r="AI14"/>
  <c r="AH14"/>
  <c r="AG14"/>
  <c r="AF14"/>
  <c r="AD14"/>
  <c r="AC14"/>
  <c r="BV13"/>
  <c r="BU13"/>
  <c r="BG13"/>
  <c r="BE13"/>
  <c r="AR13"/>
  <c r="AQ13"/>
  <c r="BF13"/>
  <c r="AP13"/>
  <c r="AM13"/>
  <c r="AJ13"/>
  <c r="AI13"/>
  <c r="AH13"/>
  <c r="AG13"/>
  <c r="AF13"/>
  <c r="AD13"/>
  <c r="AC13"/>
  <c r="BV12"/>
  <c r="BU12"/>
  <c r="BG12"/>
  <c r="BE12"/>
  <c r="AR12"/>
  <c r="AQ12"/>
  <c r="AP12"/>
  <c r="AM12"/>
  <c r="AJ12"/>
  <c r="AI12"/>
  <c r="AH12"/>
  <c r="AG12"/>
  <c r="AF12"/>
  <c r="AD12"/>
  <c r="AC12"/>
  <c r="BA36" i="6"/>
  <c r="BA35"/>
  <c r="AD47" i="7"/>
  <c r="AC47"/>
  <c r="AG47"/>
  <c r="AP47"/>
  <c r="AM47"/>
  <c r="AM46"/>
  <c r="AG46"/>
  <c r="AF46"/>
  <c r="AC46"/>
  <c r="AJ46"/>
  <c r="AI46"/>
  <c r="AQ46"/>
  <c r="AD46"/>
  <c r="AH46"/>
  <c r="AI45"/>
  <c r="AD45"/>
  <c r="BG40"/>
  <c r="AC45"/>
  <c r="AG40"/>
  <c r="BV40"/>
  <c r="AQ45"/>
  <c r="AF45"/>
  <c r="AJ45"/>
  <c r="AG45"/>
  <c r="AM45"/>
  <c r="AF40"/>
  <c r="AJ40"/>
  <c r="AR40"/>
  <c r="AM40"/>
  <c r="AP40"/>
  <c r="AI40"/>
  <c r="AD40"/>
  <c r="AH40"/>
  <c r="AQ44"/>
  <c r="AP44"/>
  <c r="AJ44"/>
  <c r="AI44"/>
  <c r="AF44"/>
  <c r="AH44"/>
  <c r="AG44"/>
  <c r="AI47"/>
  <c r="AH47"/>
  <c r="AM44"/>
  <c r="BE43"/>
  <c r="BE40"/>
  <c r="AC40"/>
  <c r="AP46"/>
  <c r="AP45"/>
  <c r="AF47"/>
  <c r="AJ47"/>
  <c r="AH45"/>
  <c r="BF12"/>
  <c r="AQ47"/>
  <c r="BF19"/>
  <c r="BA34" i="6"/>
  <c r="AQ40" i="7"/>
  <c r="BF40"/>
  <c r="BA33" i="6"/>
  <c r="BA32"/>
  <c r="BA31"/>
  <c r="BA30"/>
  <c r="BA29"/>
  <c r="BA28"/>
  <c r="BV27"/>
  <c r="BA27"/>
  <c r="BV26"/>
  <c r="BA26"/>
  <c r="BV25"/>
  <c r="BA25"/>
  <c r="BV24"/>
  <c r="BA24"/>
  <c r="BV23"/>
  <c r="BA23"/>
  <c r="BV22"/>
  <c r="BA22"/>
  <c r="BV21"/>
  <c r="BA21"/>
  <c r="BA20"/>
  <c r="BV20"/>
  <c r="BV19"/>
  <c r="BA19"/>
  <c r="BV18"/>
  <c r="BA18"/>
  <c r="BV17"/>
  <c r="BA17"/>
  <c r="BV16"/>
  <c r="BA16"/>
  <c r="BV15"/>
  <c r="BA15"/>
  <c r="BV14"/>
  <c r="BA14"/>
  <c r="BA7"/>
  <c r="BA8"/>
  <c r="BA9"/>
  <c r="BA10"/>
  <c r="BA11"/>
  <c r="BA12"/>
  <c r="BA13"/>
  <c r="BV13"/>
  <c r="BV12"/>
  <c r="BV11"/>
  <c r="BV10"/>
  <c r="BV6"/>
  <c r="BV7"/>
  <c r="BV8"/>
  <c r="BV9"/>
  <c r="CA40"/>
  <c r="BZ40"/>
  <c r="BW40"/>
  <c r="BX40"/>
  <c r="BT40"/>
  <c r="BS40"/>
  <c r="BR40"/>
  <c r="BQ40"/>
  <c r="BP40"/>
  <c r="BO40"/>
  <c r="BN40"/>
  <c r="BM40"/>
  <c r="BL40"/>
  <c r="BK40"/>
  <c r="BJ40"/>
  <c r="BI40"/>
  <c r="BH40"/>
  <c r="BC40"/>
  <c r="BD40"/>
  <c r="BB40"/>
  <c r="AX40"/>
  <c r="AY40"/>
  <c r="AZ40"/>
  <c r="AW40"/>
  <c r="AV40"/>
  <c r="AU40"/>
  <c r="AT40"/>
  <c r="AO40"/>
  <c r="AN40"/>
  <c r="AL40"/>
  <c r="AK40"/>
  <c r="AE40"/>
  <c r="AB40"/>
  <c r="AA40"/>
  <c r="Z40"/>
  <c r="Y40"/>
  <c r="X40"/>
  <c r="W40"/>
  <c r="V40"/>
  <c r="T40"/>
  <c r="S40"/>
  <c r="R40"/>
  <c r="Q40"/>
  <c r="P40"/>
  <c r="O40"/>
  <c r="N40"/>
  <c r="M40"/>
  <c r="L40"/>
  <c r="K40"/>
  <c r="J40"/>
  <c r="I40"/>
  <c r="H40"/>
  <c r="G40"/>
  <c r="F40"/>
  <c r="E40"/>
  <c r="D40"/>
  <c r="C40"/>
  <c r="BV5"/>
  <c r="AO48"/>
  <c r="AN48"/>
  <c r="AL48"/>
  <c r="AM48"/>
  <c r="AK48"/>
  <c r="AE48"/>
  <c r="AB48"/>
  <c r="AA48"/>
  <c r="Z48"/>
  <c r="Y48"/>
  <c r="X48"/>
  <c r="W48"/>
  <c r="V48"/>
  <c r="U48"/>
  <c r="T48"/>
  <c r="S48"/>
  <c r="R48"/>
  <c r="Q48"/>
  <c r="P48"/>
  <c r="O48"/>
  <c r="N48"/>
  <c r="M48"/>
  <c r="L48"/>
  <c r="K48"/>
  <c r="J48"/>
  <c r="I48"/>
  <c r="H48"/>
  <c r="G48"/>
  <c r="F48"/>
  <c r="E48"/>
  <c r="D48"/>
  <c r="C48"/>
  <c r="AO47"/>
  <c r="AN47"/>
  <c r="AL47"/>
  <c r="AK47"/>
  <c r="AE47"/>
  <c r="AB47"/>
  <c r="AA47"/>
  <c r="Z47"/>
  <c r="Y47"/>
  <c r="X47"/>
  <c r="W47"/>
  <c r="V47"/>
  <c r="U47"/>
  <c r="T47"/>
  <c r="S47"/>
  <c r="R47"/>
  <c r="Q47"/>
  <c r="P47"/>
  <c r="O47"/>
  <c r="N47"/>
  <c r="M47"/>
  <c r="L47"/>
  <c r="K47"/>
  <c r="J47"/>
  <c r="I47"/>
  <c r="H47"/>
  <c r="G47"/>
  <c r="F47"/>
  <c r="E47"/>
  <c r="D47"/>
  <c r="C47"/>
  <c r="AO46"/>
  <c r="AN46"/>
  <c r="AL46"/>
  <c r="AK46"/>
  <c r="AE46"/>
  <c r="AB46"/>
  <c r="AA46"/>
  <c r="Z46"/>
  <c r="Y46"/>
  <c r="X46"/>
  <c r="W46"/>
  <c r="V46"/>
  <c r="U46"/>
  <c r="T46"/>
  <c r="S46"/>
  <c r="R46"/>
  <c r="Q46"/>
  <c r="P46"/>
  <c r="O46"/>
  <c r="N46"/>
  <c r="M46"/>
  <c r="L46"/>
  <c r="K46"/>
  <c r="J46"/>
  <c r="I46"/>
  <c r="H46"/>
  <c r="G46"/>
  <c r="F46"/>
  <c r="E46"/>
  <c r="D46"/>
  <c r="C46"/>
  <c r="AO45"/>
  <c r="AN45"/>
  <c r="AL45"/>
  <c r="AK45"/>
  <c r="AE45"/>
  <c r="AB45"/>
  <c r="AA45"/>
  <c r="Z45"/>
  <c r="Y45"/>
  <c r="X45"/>
  <c r="W45"/>
  <c r="V45"/>
  <c r="U45"/>
  <c r="T45"/>
  <c r="S45"/>
  <c r="R45"/>
  <c r="Q45"/>
  <c r="P45"/>
  <c r="N45"/>
  <c r="M45"/>
  <c r="L45"/>
  <c r="K45"/>
  <c r="J45"/>
  <c r="I45"/>
  <c r="H45"/>
  <c r="G45"/>
  <c r="F45"/>
  <c r="E45"/>
  <c r="D45"/>
  <c r="C45"/>
  <c r="AO44"/>
  <c r="AN44"/>
  <c r="AL44"/>
  <c r="AK44"/>
  <c r="AE44"/>
  <c r="AC44"/>
  <c r="AB44"/>
  <c r="AA44"/>
  <c r="Z44"/>
  <c r="Y44"/>
  <c r="X44"/>
  <c r="W44"/>
  <c r="V44"/>
  <c r="U44"/>
  <c r="T44"/>
  <c r="S44"/>
  <c r="R44"/>
  <c r="Q44"/>
  <c r="P44"/>
  <c r="O44"/>
  <c r="N44"/>
  <c r="M44"/>
  <c r="L44"/>
  <c r="K44"/>
  <c r="J44"/>
  <c r="I44"/>
  <c r="H44"/>
  <c r="G44"/>
  <c r="F44"/>
  <c r="E44"/>
  <c r="D44"/>
  <c r="C44"/>
  <c r="BF41"/>
  <c r="AQ48"/>
  <c r="AJ48"/>
  <c r="AH48"/>
  <c r="AG48"/>
  <c r="AF48"/>
  <c r="AD48"/>
  <c r="AC48"/>
  <c r="BU39"/>
  <c r="BG39"/>
  <c r="BE39"/>
  <c r="AR39"/>
  <c r="AQ39"/>
  <c r="BF39"/>
  <c r="AP39"/>
  <c r="AM39"/>
  <c r="AJ39"/>
  <c r="AI39"/>
  <c r="AH39"/>
  <c r="AG39"/>
  <c r="AF39"/>
  <c r="AD39"/>
  <c r="AC39"/>
  <c r="BU38"/>
  <c r="BG38"/>
  <c r="BE38"/>
  <c r="AR38"/>
  <c r="AQ38"/>
  <c r="BF38"/>
  <c r="AP38"/>
  <c r="AM38"/>
  <c r="AJ38"/>
  <c r="AI38"/>
  <c r="AH38"/>
  <c r="AG38"/>
  <c r="AF38"/>
  <c r="AD38"/>
  <c r="AC38"/>
  <c r="BU37"/>
  <c r="BG37"/>
  <c r="BE37"/>
  <c r="AR37"/>
  <c r="AQ37"/>
  <c r="BF37"/>
  <c r="AP37"/>
  <c r="AM37"/>
  <c r="AJ37"/>
  <c r="AI37"/>
  <c r="AH37"/>
  <c r="AG37"/>
  <c r="AF37"/>
  <c r="AD37"/>
  <c r="AC37"/>
  <c r="BU36"/>
  <c r="BG36"/>
  <c r="BE36"/>
  <c r="AR36"/>
  <c r="AQ36"/>
  <c r="BF36"/>
  <c r="AP36"/>
  <c r="AM36"/>
  <c r="AJ36"/>
  <c r="AI36"/>
  <c r="AH36"/>
  <c r="AG36"/>
  <c r="AF36"/>
  <c r="AD36"/>
  <c r="AC36"/>
  <c r="BU35"/>
  <c r="BG35"/>
  <c r="BE35"/>
  <c r="AR35"/>
  <c r="AQ35"/>
  <c r="BF35"/>
  <c r="AP35"/>
  <c r="AM35"/>
  <c r="AJ35"/>
  <c r="AI35"/>
  <c r="AH35"/>
  <c r="AG35"/>
  <c r="AF35"/>
  <c r="AD35"/>
  <c r="AC35"/>
  <c r="BU34"/>
  <c r="BG34"/>
  <c r="BE34"/>
  <c r="AR34"/>
  <c r="AQ34"/>
  <c r="BF34"/>
  <c r="AP34"/>
  <c r="AM34"/>
  <c r="AJ34"/>
  <c r="AI34"/>
  <c r="AH34"/>
  <c r="AG34"/>
  <c r="AF34"/>
  <c r="AD34"/>
  <c r="AC34"/>
  <c r="BU33"/>
  <c r="BG33"/>
  <c r="BE33"/>
  <c r="AR33"/>
  <c r="AQ33"/>
  <c r="BF33"/>
  <c r="AP33"/>
  <c r="AM33"/>
  <c r="AJ33"/>
  <c r="AI33"/>
  <c r="AH33"/>
  <c r="AG33"/>
  <c r="AF33"/>
  <c r="AD33"/>
  <c r="AC33"/>
  <c r="BU32"/>
  <c r="BG32"/>
  <c r="BE32"/>
  <c r="AR32"/>
  <c r="AQ32"/>
  <c r="BF32"/>
  <c r="AP32"/>
  <c r="AM32"/>
  <c r="AJ32"/>
  <c r="AI32"/>
  <c r="AH32"/>
  <c r="AG32"/>
  <c r="AF32"/>
  <c r="AD32"/>
  <c r="AC32"/>
  <c r="BU31"/>
  <c r="BG31"/>
  <c r="BE31"/>
  <c r="AR31"/>
  <c r="AQ31"/>
  <c r="BF31"/>
  <c r="AP31"/>
  <c r="AM31"/>
  <c r="AJ31"/>
  <c r="AI31"/>
  <c r="AH31"/>
  <c r="AG31"/>
  <c r="AF31"/>
  <c r="AD31"/>
  <c r="AC31"/>
  <c r="BU30"/>
  <c r="BG30"/>
  <c r="BE30"/>
  <c r="AR30"/>
  <c r="AQ30"/>
  <c r="BF30"/>
  <c r="AP30"/>
  <c r="AM30"/>
  <c r="AJ30"/>
  <c r="AI30"/>
  <c r="AH30"/>
  <c r="AG30"/>
  <c r="AF30"/>
  <c r="AD30"/>
  <c r="AC30"/>
  <c r="BU29"/>
  <c r="BG29"/>
  <c r="BE29"/>
  <c r="AR29"/>
  <c r="AQ29"/>
  <c r="BF29"/>
  <c r="AP29"/>
  <c r="AM29"/>
  <c r="AJ29"/>
  <c r="AI29"/>
  <c r="AH29"/>
  <c r="AG29"/>
  <c r="AF29"/>
  <c r="AD29"/>
  <c r="AC29"/>
  <c r="BU28"/>
  <c r="BG28"/>
  <c r="BE28"/>
  <c r="AR28"/>
  <c r="AQ28"/>
  <c r="BF28"/>
  <c r="AP28"/>
  <c r="AM28"/>
  <c r="AJ28"/>
  <c r="AI28"/>
  <c r="AH28"/>
  <c r="AG28"/>
  <c r="AF28"/>
  <c r="AD28"/>
  <c r="AC28"/>
  <c r="BU27"/>
  <c r="BG27"/>
  <c r="BE27"/>
  <c r="AR27"/>
  <c r="AQ27"/>
  <c r="BF27"/>
  <c r="AP27"/>
  <c r="AM27"/>
  <c r="AJ27"/>
  <c r="AI27"/>
  <c r="AI48"/>
  <c r="AH27"/>
  <c r="AG27"/>
  <c r="AF27"/>
  <c r="AD27"/>
  <c r="AC27"/>
  <c r="BU26"/>
  <c r="BG26"/>
  <c r="BE26"/>
  <c r="AR26"/>
  <c r="AQ26"/>
  <c r="AP26"/>
  <c r="AM26"/>
  <c r="AJ26"/>
  <c r="AI26"/>
  <c r="AH26"/>
  <c r="AG26"/>
  <c r="AF26"/>
  <c r="AD26"/>
  <c r="AC26"/>
  <c r="BU25"/>
  <c r="BG25"/>
  <c r="BE25"/>
  <c r="AR25"/>
  <c r="AQ25"/>
  <c r="BF25"/>
  <c r="AP25"/>
  <c r="AM25"/>
  <c r="AJ25"/>
  <c r="AI25"/>
  <c r="AH25"/>
  <c r="AG25"/>
  <c r="AF25"/>
  <c r="AD25"/>
  <c r="AC25"/>
  <c r="BU24"/>
  <c r="BG24"/>
  <c r="BE24"/>
  <c r="AR24"/>
  <c r="AQ24"/>
  <c r="BF24"/>
  <c r="AP24"/>
  <c r="AM24"/>
  <c r="AJ24"/>
  <c r="AI24"/>
  <c r="AH24"/>
  <c r="AG24"/>
  <c r="AF24"/>
  <c r="AD24"/>
  <c r="AC24"/>
  <c r="BU23"/>
  <c r="BG23"/>
  <c r="BE23"/>
  <c r="AR23"/>
  <c r="AQ23"/>
  <c r="BF23"/>
  <c r="AP23"/>
  <c r="AM23"/>
  <c r="AJ23"/>
  <c r="AI23"/>
  <c r="AH23"/>
  <c r="AG23"/>
  <c r="AF23"/>
  <c r="AD23"/>
  <c r="AC23"/>
  <c r="BU22"/>
  <c r="BG22"/>
  <c r="BE22"/>
  <c r="AR22"/>
  <c r="AQ22"/>
  <c r="BF22"/>
  <c r="AP22"/>
  <c r="AM22"/>
  <c r="AJ22"/>
  <c r="AI22"/>
  <c r="AH22"/>
  <c r="AG22"/>
  <c r="AF22"/>
  <c r="AD22"/>
  <c r="AC22"/>
  <c r="BU21"/>
  <c r="BG21"/>
  <c r="BE21"/>
  <c r="AR21"/>
  <c r="AQ21"/>
  <c r="BF21"/>
  <c r="AP21"/>
  <c r="AM21"/>
  <c r="AJ21"/>
  <c r="AI21"/>
  <c r="AH21"/>
  <c r="AG21"/>
  <c r="AF21"/>
  <c r="AD21"/>
  <c r="AC21"/>
  <c r="BU20"/>
  <c r="BG20"/>
  <c r="BE20"/>
  <c r="AR20"/>
  <c r="AQ20"/>
  <c r="BF20"/>
  <c r="AP20"/>
  <c r="AM20"/>
  <c r="AJ20"/>
  <c r="AI20"/>
  <c r="AH20"/>
  <c r="AG20"/>
  <c r="AF20"/>
  <c r="AD20"/>
  <c r="AC20"/>
  <c r="BU19"/>
  <c r="BG19"/>
  <c r="BE19"/>
  <c r="AR19"/>
  <c r="AQ19"/>
  <c r="AP19"/>
  <c r="AM19"/>
  <c r="AJ19"/>
  <c r="AI19"/>
  <c r="AH19"/>
  <c r="AG19"/>
  <c r="AF19"/>
  <c r="AD19"/>
  <c r="AC19"/>
  <c r="BU18"/>
  <c r="BG18"/>
  <c r="BE18"/>
  <c r="AR18"/>
  <c r="AQ18"/>
  <c r="BF18"/>
  <c r="AP18"/>
  <c r="AM18"/>
  <c r="AJ18"/>
  <c r="AI18"/>
  <c r="AH18"/>
  <c r="AG18"/>
  <c r="AF18"/>
  <c r="AD18"/>
  <c r="AC18"/>
  <c r="BU17"/>
  <c r="BG17"/>
  <c r="BE17"/>
  <c r="AR17"/>
  <c r="AQ17"/>
  <c r="BF17"/>
  <c r="AP17"/>
  <c r="AM17"/>
  <c r="AJ17"/>
  <c r="AI17"/>
  <c r="AH17"/>
  <c r="AG17"/>
  <c r="AF17"/>
  <c r="AD17"/>
  <c r="AC17"/>
  <c r="BU16"/>
  <c r="BG16"/>
  <c r="BE16"/>
  <c r="AR16"/>
  <c r="AQ16"/>
  <c r="BF16"/>
  <c r="AP16"/>
  <c r="AM16"/>
  <c r="AJ16"/>
  <c r="AI16"/>
  <c r="AH16"/>
  <c r="AG16"/>
  <c r="AF16"/>
  <c r="AD16"/>
  <c r="AC16"/>
  <c r="BU15"/>
  <c r="BG15"/>
  <c r="BE15"/>
  <c r="AR15"/>
  <c r="AQ15"/>
  <c r="BF15"/>
  <c r="AP15"/>
  <c r="AM15"/>
  <c r="AJ15"/>
  <c r="AI15"/>
  <c r="AH15"/>
  <c r="AG15"/>
  <c r="AF15"/>
  <c r="AD15"/>
  <c r="AC15"/>
  <c r="BU14"/>
  <c r="BG14"/>
  <c r="BE14"/>
  <c r="AR14"/>
  <c r="AQ14"/>
  <c r="BF14"/>
  <c r="AP14"/>
  <c r="AM14"/>
  <c r="AJ14"/>
  <c r="AI14"/>
  <c r="AH14"/>
  <c r="AG14"/>
  <c r="AF14"/>
  <c r="AD14"/>
  <c r="AC14"/>
  <c r="BU13"/>
  <c r="BG13"/>
  <c r="BE13"/>
  <c r="AR13"/>
  <c r="AQ13"/>
  <c r="BF13"/>
  <c r="AP13"/>
  <c r="AM13"/>
  <c r="AJ13"/>
  <c r="AI13"/>
  <c r="AH13"/>
  <c r="AG13"/>
  <c r="AF13"/>
  <c r="AD13"/>
  <c r="AC13"/>
  <c r="BU12"/>
  <c r="BG12"/>
  <c r="BE12"/>
  <c r="AR12"/>
  <c r="AQ12"/>
  <c r="AP12"/>
  <c r="AM12"/>
  <c r="AJ12"/>
  <c r="AI12"/>
  <c r="AH12"/>
  <c r="AG12"/>
  <c r="AF12"/>
  <c r="AD12"/>
  <c r="AC12"/>
  <c r="BU11"/>
  <c r="BG11"/>
  <c r="BE11"/>
  <c r="AR11"/>
  <c r="AQ11"/>
  <c r="BF11"/>
  <c r="AP11"/>
  <c r="AM11"/>
  <c r="AJ11"/>
  <c r="AI11"/>
  <c r="AH11"/>
  <c r="AG11"/>
  <c r="AF11"/>
  <c r="AD11"/>
  <c r="AC11"/>
  <c r="BU10"/>
  <c r="BG10"/>
  <c r="BE10"/>
  <c r="AR10"/>
  <c r="AQ10"/>
  <c r="BF10"/>
  <c r="AP10"/>
  <c r="AM10"/>
  <c r="AJ10"/>
  <c r="AI10"/>
  <c r="AH10"/>
  <c r="AG10"/>
  <c r="AF10"/>
  <c r="AD10"/>
  <c r="AC10"/>
  <c r="BU9"/>
  <c r="BG9"/>
  <c r="BE9"/>
  <c r="AR9"/>
  <c r="AQ9"/>
  <c r="BF9"/>
  <c r="AP9"/>
  <c r="AM9"/>
  <c r="AJ9"/>
  <c r="AI9"/>
  <c r="AH9"/>
  <c r="AG9"/>
  <c r="AF9"/>
  <c r="AD9"/>
  <c r="AC9"/>
  <c r="BU8"/>
  <c r="BG8"/>
  <c r="BE8"/>
  <c r="AR8"/>
  <c r="AQ8"/>
  <c r="BF8"/>
  <c r="AP8"/>
  <c r="AM8"/>
  <c r="AJ8"/>
  <c r="AI8"/>
  <c r="AH8"/>
  <c r="AG8"/>
  <c r="AF8"/>
  <c r="AD8"/>
  <c r="AC8"/>
  <c r="BU7"/>
  <c r="BG7"/>
  <c r="BE7"/>
  <c r="AR7"/>
  <c r="AQ7"/>
  <c r="BF7"/>
  <c r="AP7"/>
  <c r="AM7"/>
  <c r="AJ7"/>
  <c r="AI7"/>
  <c r="AH7"/>
  <c r="AG7"/>
  <c r="AF7"/>
  <c r="AD7"/>
  <c r="AC7"/>
  <c r="BU6"/>
  <c r="BG6"/>
  <c r="BE6"/>
  <c r="AR6"/>
  <c r="AQ6"/>
  <c r="BF6"/>
  <c r="AP6"/>
  <c r="AM6"/>
  <c r="AJ6"/>
  <c r="AI6"/>
  <c r="AH6"/>
  <c r="AG6"/>
  <c r="AF6"/>
  <c r="AD6"/>
  <c r="AC6"/>
  <c r="BU5"/>
  <c r="BG5"/>
  <c r="BE5"/>
  <c r="AR5"/>
  <c r="AQ5"/>
  <c r="AP5"/>
  <c r="AM5"/>
  <c r="AJ5"/>
  <c r="AI5"/>
  <c r="AH5"/>
  <c r="AG5"/>
  <c r="AF5"/>
  <c r="AD5"/>
  <c r="AC5"/>
  <c r="BU39" i="5"/>
  <c r="BV39"/>
  <c r="BG39"/>
  <c r="BU38"/>
  <c r="BV38"/>
  <c r="BG38"/>
  <c r="BU37"/>
  <c r="BV37"/>
  <c r="BG37"/>
  <c r="BU36"/>
  <c r="BV36"/>
  <c r="BG36"/>
  <c r="BU35"/>
  <c r="BV35"/>
  <c r="BG35"/>
  <c r="BU34"/>
  <c r="BV34"/>
  <c r="BG34"/>
  <c r="BE34"/>
  <c r="BE35"/>
  <c r="BE36"/>
  <c r="BE37"/>
  <c r="BE38"/>
  <c r="BE39"/>
  <c r="BU33"/>
  <c r="BV33"/>
  <c r="BG33"/>
  <c r="BE33"/>
  <c r="AC47" i="6"/>
  <c r="AI47"/>
  <c r="AD47"/>
  <c r="AM47"/>
  <c r="AF46"/>
  <c r="AD46"/>
  <c r="AC46"/>
  <c r="AC45"/>
  <c r="AP45"/>
  <c r="BV40"/>
  <c r="BG40"/>
  <c r="AP40"/>
  <c r="AG40"/>
  <c r="AP44"/>
  <c r="AM40"/>
  <c r="AF40"/>
  <c r="AJ40"/>
  <c r="AI40"/>
  <c r="AD40"/>
  <c r="AR40"/>
  <c r="AD44"/>
  <c r="BE43"/>
  <c r="AJ46"/>
  <c r="AP47"/>
  <c r="AQ47"/>
  <c r="AP46"/>
  <c r="AM45"/>
  <c r="AF47"/>
  <c r="AI44"/>
  <c r="AQ44"/>
  <c r="AH45"/>
  <c r="AG46"/>
  <c r="AJ47"/>
  <c r="AI46"/>
  <c r="AQ46"/>
  <c r="AH47"/>
  <c r="AH46"/>
  <c r="AG47"/>
  <c r="AH40"/>
  <c r="AG45"/>
  <c r="AG44"/>
  <c r="AF45"/>
  <c r="AJ45"/>
  <c r="BF19"/>
  <c r="BF26"/>
  <c r="AP48"/>
  <c r="AF44"/>
  <c r="AJ44"/>
  <c r="AD45"/>
  <c r="AI45"/>
  <c r="AQ45"/>
  <c r="BE40"/>
  <c r="AM44"/>
  <c r="AH44"/>
  <c r="AM46"/>
  <c r="BF5"/>
  <c r="BF12"/>
  <c r="AC40"/>
  <c r="AM11" i="5"/>
  <c r="AM12"/>
  <c r="AM13"/>
  <c r="AM14"/>
  <c r="AM15"/>
  <c r="AM16"/>
  <c r="AM17"/>
  <c r="AM18"/>
  <c r="AM19"/>
  <c r="AM20"/>
  <c r="AM21"/>
  <c r="AM22"/>
  <c r="AM23"/>
  <c r="AM24"/>
  <c r="AM25"/>
  <c r="AM26"/>
  <c r="AM27"/>
  <c r="AM28"/>
  <c r="AM29"/>
  <c r="AM30"/>
  <c r="AQ31"/>
  <c r="AQ40" i="6"/>
  <c r="BF40"/>
  <c r="AD33" i="5"/>
  <c r="AD34"/>
  <c r="AD35"/>
  <c r="AD36"/>
  <c r="AD37"/>
  <c r="AD38"/>
  <c r="AD39"/>
  <c r="AD40"/>
  <c r="AD41"/>
  <c r="AD42"/>
  <c r="AD43"/>
  <c r="AD44"/>
  <c r="AD45"/>
  <c r="AD46"/>
  <c r="AC33"/>
  <c r="AC34"/>
  <c r="AC35"/>
  <c r="AC36"/>
  <c r="AC37"/>
  <c r="AC38"/>
  <c r="AC39"/>
  <c r="AC40"/>
  <c r="AC41"/>
  <c r="AC42"/>
  <c r="AC43"/>
  <c r="AC44"/>
  <c r="AC45"/>
  <c r="AC46"/>
  <c r="AR27"/>
  <c r="AR41"/>
  <c r="AR42"/>
  <c r="AR43"/>
  <c r="AR44"/>
  <c r="AR45"/>
  <c r="AR21"/>
  <c r="AR22"/>
  <c r="AR23"/>
  <c r="AR24"/>
  <c r="AR25"/>
  <c r="AR26"/>
  <c r="AR28"/>
  <c r="AR29"/>
  <c r="AR30"/>
  <c r="AR31"/>
  <c r="AR32"/>
  <c r="AR33"/>
  <c r="AR34"/>
  <c r="AR35"/>
  <c r="AR36"/>
  <c r="AR37"/>
  <c r="AR38"/>
  <c r="AR39"/>
  <c r="AR40"/>
  <c r="AH21"/>
  <c r="AP33"/>
  <c r="AQ33"/>
  <c r="BF33"/>
  <c r="AP34"/>
  <c r="AQ34"/>
  <c r="BF34"/>
  <c r="AP35"/>
  <c r="AQ35"/>
  <c r="BF35"/>
  <c r="AP36"/>
  <c r="AQ36"/>
  <c r="BF36"/>
  <c r="AP37"/>
  <c r="AQ37"/>
  <c r="BF37"/>
  <c r="AP38"/>
  <c r="AQ38"/>
  <c r="BF38"/>
  <c r="AP39"/>
  <c r="AQ39"/>
  <c r="BF39"/>
  <c r="AP40"/>
  <c r="AQ40"/>
  <c r="AM33"/>
  <c r="AM34"/>
  <c r="AM35"/>
  <c r="AM36"/>
  <c r="AM37"/>
  <c r="AM38"/>
  <c r="AM39"/>
  <c r="AF33"/>
  <c r="AG33"/>
  <c r="AH33"/>
  <c r="AI33"/>
  <c r="AJ33"/>
  <c r="AF34"/>
  <c r="AG34"/>
  <c r="AH34"/>
  <c r="AI34"/>
  <c r="AJ34"/>
  <c r="AF35"/>
  <c r="AG35"/>
  <c r="AH35"/>
  <c r="AI35"/>
  <c r="AJ35"/>
  <c r="AF36"/>
  <c r="AG36"/>
  <c r="AH36"/>
  <c r="AI36"/>
  <c r="AJ36"/>
  <c r="AF37"/>
  <c r="AG37"/>
  <c r="AH37"/>
  <c r="AI37"/>
  <c r="AJ37"/>
  <c r="AF38"/>
  <c r="AG38"/>
  <c r="AH38"/>
  <c r="AI38"/>
  <c r="AJ38"/>
  <c r="AF39"/>
  <c r="AG39"/>
  <c r="AH39"/>
  <c r="AI39"/>
  <c r="AJ39"/>
  <c r="AJ40" i="4"/>
  <c r="AI40"/>
  <c r="AF40"/>
  <c r="AG40"/>
  <c r="CA47" i="5"/>
  <c r="BZ47"/>
  <c r="BW47"/>
  <c r="BX47"/>
  <c r="BT47"/>
  <c r="BS47"/>
  <c r="BM47"/>
  <c r="BN47"/>
  <c r="BO47"/>
  <c r="BP47"/>
  <c r="BQ47"/>
  <c r="BR47"/>
  <c r="BL47"/>
  <c r="BK47"/>
  <c r="BJ47"/>
  <c r="BI47"/>
  <c r="BH47"/>
  <c r="BC47"/>
  <c r="BD47"/>
  <c r="BB47"/>
  <c r="AZ47"/>
  <c r="AU47"/>
  <c r="AV47"/>
  <c r="AW47"/>
  <c r="AX47"/>
  <c r="AY47"/>
  <c r="AT47"/>
  <c r="AO47"/>
  <c r="AN47"/>
  <c r="AL47"/>
  <c r="AK47"/>
  <c r="AE47"/>
  <c r="AB47"/>
  <c r="AA47"/>
  <c r="Z47"/>
  <c r="Y47"/>
  <c r="X47"/>
  <c r="W47"/>
  <c r="S47"/>
  <c r="T47"/>
  <c r="V47"/>
  <c r="R47"/>
  <c r="Q47"/>
  <c r="P47"/>
  <c r="O47"/>
  <c r="N47"/>
  <c r="M47"/>
  <c r="L47"/>
  <c r="K47"/>
  <c r="J47"/>
  <c r="I47"/>
  <c r="H47"/>
  <c r="F47"/>
  <c r="G47"/>
  <c r="E47"/>
  <c r="D47"/>
  <c r="AR11"/>
  <c r="C47"/>
  <c r="BV11"/>
  <c r="BU11"/>
  <c r="BG11"/>
  <c r="BE11"/>
  <c r="AQ11"/>
  <c r="BF11"/>
  <c r="AP11"/>
  <c r="AJ11"/>
  <c r="AI11"/>
  <c r="AH11"/>
  <c r="AG11"/>
  <c r="AF11"/>
  <c r="AD11"/>
  <c r="AC11"/>
  <c r="BV10"/>
  <c r="BU10"/>
  <c r="BG10"/>
  <c r="BE10"/>
  <c r="AR10"/>
  <c r="AQ10"/>
  <c r="BF10"/>
  <c r="AP10"/>
  <c r="AM10"/>
  <c r="AJ10"/>
  <c r="AI10"/>
  <c r="AH10"/>
  <c r="AG10"/>
  <c r="AF10"/>
  <c r="AD10"/>
  <c r="AC10"/>
  <c r="BV9"/>
  <c r="BU9"/>
  <c r="BG9"/>
  <c r="BE9"/>
  <c r="AR9"/>
  <c r="AQ9"/>
  <c r="BF9"/>
  <c r="AP9"/>
  <c r="AM9"/>
  <c r="AJ9"/>
  <c r="AI9"/>
  <c r="AH9"/>
  <c r="AG9"/>
  <c r="AF9"/>
  <c r="AD9"/>
  <c r="AC9"/>
  <c r="BV8"/>
  <c r="BU8"/>
  <c r="BG8"/>
  <c r="BE8"/>
  <c r="AR8"/>
  <c r="AQ8"/>
  <c r="BF8"/>
  <c r="AP8"/>
  <c r="AM8"/>
  <c r="AJ8"/>
  <c r="AI8"/>
  <c r="AH8"/>
  <c r="AG8"/>
  <c r="AF8"/>
  <c r="AD8"/>
  <c r="AC8"/>
  <c r="BV7"/>
  <c r="BU7"/>
  <c r="BG7"/>
  <c r="BE7"/>
  <c r="AR7"/>
  <c r="AQ7"/>
  <c r="BF7"/>
  <c r="AP7"/>
  <c r="AM7"/>
  <c r="AJ7"/>
  <c r="AI7"/>
  <c r="AH7"/>
  <c r="AG7"/>
  <c r="AF7"/>
  <c r="AD7"/>
  <c r="AC7"/>
  <c r="BV6"/>
  <c r="BU6"/>
  <c r="BG6"/>
  <c r="BE6"/>
  <c r="AR6"/>
  <c r="AQ6"/>
  <c r="BF6"/>
  <c r="AP6"/>
  <c r="AM6"/>
  <c r="AJ6"/>
  <c r="AI6"/>
  <c r="AH6"/>
  <c r="AG6"/>
  <c r="AF6"/>
  <c r="AD6"/>
  <c r="AC6"/>
  <c r="BV5"/>
  <c r="BU5"/>
  <c r="BG5"/>
  <c r="BE5"/>
  <c r="AR5"/>
  <c r="AQ5"/>
  <c r="BF5"/>
  <c r="AP5"/>
  <c r="AM5"/>
  <c r="AJ5"/>
  <c r="AI5"/>
  <c r="AH5"/>
  <c r="AG5"/>
  <c r="AF5"/>
  <c r="AD5"/>
  <c r="AC5"/>
  <c r="AO55"/>
  <c r="AN55"/>
  <c r="AL55"/>
  <c r="AK55"/>
  <c r="AE55"/>
  <c r="AB55"/>
  <c r="AA55"/>
  <c r="Z55"/>
  <c r="Y55"/>
  <c r="X55"/>
  <c r="W55"/>
  <c r="V55"/>
  <c r="U55"/>
  <c r="T55"/>
  <c r="S55"/>
  <c r="R55"/>
  <c r="Q55"/>
  <c r="P55"/>
  <c r="O55"/>
  <c r="N55"/>
  <c r="M55"/>
  <c r="L55"/>
  <c r="K55"/>
  <c r="J55"/>
  <c r="I55"/>
  <c r="H55"/>
  <c r="G55"/>
  <c r="F55"/>
  <c r="E55"/>
  <c r="D55"/>
  <c r="C55"/>
  <c r="AO54"/>
  <c r="AN54"/>
  <c r="AL54"/>
  <c r="AK54"/>
  <c r="AE54"/>
  <c r="AB54"/>
  <c r="AA54"/>
  <c r="Z54"/>
  <c r="Y54"/>
  <c r="X54"/>
  <c r="W54"/>
  <c r="V54"/>
  <c r="U54"/>
  <c r="T54"/>
  <c r="S54"/>
  <c r="R54"/>
  <c r="Q54"/>
  <c r="P54"/>
  <c r="O54"/>
  <c r="N54"/>
  <c r="M54"/>
  <c r="L54"/>
  <c r="K54"/>
  <c r="J54"/>
  <c r="I54"/>
  <c r="H54"/>
  <c r="G54"/>
  <c r="F54"/>
  <c r="E54"/>
  <c r="D54"/>
  <c r="C54"/>
  <c r="AO53"/>
  <c r="AN53"/>
  <c r="AL53"/>
  <c r="AK53"/>
  <c r="AE53"/>
  <c r="AB53"/>
  <c r="AA53"/>
  <c r="Z53"/>
  <c r="Y53"/>
  <c r="X53"/>
  <c r="W53"/>
  <c r="V53"/>
  <c r="U53"/>
  <c r="T53"/>
  <c r="S53"/>
  <c r="R53"/>
  <c r="Q53"/>
  <c r="P53"/>
  <c r="O53"/>
  <c r="N53"/>
  <c r="M53"/>
  <c r="L53"/>
  <c r="K53"/>
  <c r="J53"/>
  <c r="I53"/>
  <c r="H53"/>
  <c r="G53"/>
  <c r="F53"/>
  <c r="E53"/>
  <c r="D53"/>
  <c r="C53"/>
  <c r="AO52"/>
  <c r="AN52"/>
  <c r="AL52"/>
  <c r="AK52"/>
  <c r="AE52"/>
  <c r="AB52"/>
  <c r="AA52"/>
  <c r="Z52"/>
  <c r="Y52"/>
  <c r="X52"/>
  <c r="W52"/>
  <c r="V52"/>
  <c r="U52"/>
  <c r="T52"/>
  <c r="S52"/>
  <c r="R52"/>
  <c r="Q52"/>
  <c r="P52"/>
  <c r="N52"/>
  <c r="M52"/>
  <c r="L52"/>
  <c r="K52"/>
  <c r="J52"/>
  <c r="I52"/>
  <c r="H52"/>
  <c r="G52"/>
  <c r="F52"/>
  <c r="E52"/>
  <c r="D52"/>
  <c r="C52"/>
  <c r="AO51"/>
  <c r="AN51"/>
  <c r="AL51"/>
  <c r="AK51"/>
  <c r="AE51"/>
  <c r="AC51"/>
  <c r="AB51"/>
  <c r="AA51"/>
  <c r="Z51"/>
  <c r="Y51"/>
  <c r="X51"/>
  <c r="W51"/>
  <c r="V51"/>
  <c r="U51"/>
  <c r="T51"/>
  <c r="S51"/>
  <c r="R51"/>
  <c r="Q51"/>
  <c r="P51"/>
  <c r="O51"/>
  <c r="N51"/>
  <c r="M51"/>
  <c r="L51"/>
  <c r="K51"/>
  <c r="J51"/>
  <c r="I51"/>
  <c r="H51"/>
  <c r="G51"/>
  <c r="F51"/>
  <c r="E51"/>
  <c r="D51"/>
  <c r="C51"/>
  <c r="BF48"/>
  <c r="BV45"/>
  <c r="BU45"/>
  <c r="BG45"/>
  <c r="BE45"/>
  <c r="AQ45"/>
  <c r="BF45"/>
  <c r="AP45"/>
  <c r="AM45"/>
  <c r="AJ45"/>
  <c r="AI45"/>
  <c r="AH45"/>
  <c r="AG45"/>
  <c r="AF45"/>
  <c r="BV44"/>
  <c r="BU44"/>
  <c r="BG44"/>
  <c r="BE44"/>
  <c r="AQ44"/>
  <c r="BF44"/>
  <c r="AP44"/>
  <c r="AM44"/>
  <c r="AJ44"/>
  <c r="AI44"/>
  <c r="AH44"/>
  <c r="AG44"/>
  <c r="AF44"/>
  <c r="BV43"/>
  <c r="BU43"/>
  <c r="BG43"/>
  <c r="BE43"/>
  <c r="AQ43"/>
  <c r="BF43"/>
  <c r="AP43"/>
  <c r="AM43"/>
  <c r="AJ43"/>
  <c r="AI43"/>
  <c r="AH43"/>
  <c r="AG43"/>
  <c r="AF43"/>
  <c r="BV42"/>
  <c r="BU42"/>
  <c r="BG42"/>
  <c r="BE42"/>
  <c r="AQ42"/>
  <c r="BF42"/>
  <c r="AP42"/>
  <c r="AM42"/>
  <c r="AJ42"/>
  <c r="AI42"/>
  <c r="AH42"/>
  <c r="AG42"/>
  <c r="AF42"/>
  <c r="BV41"/>
  <c r="BU41"/>
  <c r="BG41"/>
  <c r="BE41"/>
  <c r="AQ41"/>
  <c r="BF41"/>
  <c r="AP41"/>
  <c r="AM41"/>
  <c r="AJ41"/>
  <c r="AI41"/>
  <c r="AH41"/>
  <c r="AG41"/>
  <c r="AF41"/>
  <c r="BV40"/>
  <c r="BU40"/>
  <c r="BG40"/>
  <c r="BE40"/>
  <c r="BF40"/>
  <c r="AM40"/>
  <c r="AJ40"/>
  <c r="AI40"/>
  <c r="AH40"/>
  <c r="AH55"/>
  <c r="AG40"/>
  <c r="AF40"/>
  <c r="AD55"/>
  <c r="AC55"/>
  <c r="BV32"/>
  <c r="BU32"/>
  <c r="BG32"/>
  <c r="BE32"/>
  <c r="AQ32"/>
  <c r="BF32"/>
  <c r="AP32"/>
  <c r="AM32"/>
  <c r="AJ32"/>
  <c r="AI32"/>
  <c r="AH32"/>
  <c r="AG32"/>
  <c r="AF32"/>
  <c r="AD32"/>
  <c r="AC32"/>
  <c r="BV31"/>
  <c r="BU31"/>
  <c r="BG31"/>
  <c r="BE31"/>
  <c r="BF31"/>
  <c r="AP31"/>
  <c r="AM31"/>
  <c r="AJ31"/>
  <c r="AI31"/>
  <c r="AH31"/>
  <c r="AG31"/>
  <c r="AF31"/>
  <c r="AD31"/>
  <c r="AC31"/>
  <c r="BV30"/>
  <c r="BU30"/>
  <c r="BG30"/>
  <c r="BE30"/>
  <c r="AQ30"/>
  <c r="BF30"/>
  <c r="AP30"/>
  <c r="AJ30"/>
  <c r="AI30"/>
  <c r="AH30"/>
  <c r="AG30"/>
  <c r="AF30"/>
  <c r="AD30"/>
  <c r="AC30"/>
  <c r="BV29"/>
  <c r="BU29"/>
  <c r="BG29"/>
  <c r="BE29"/>
  <c r="AQ29"/>
  <c r="BF29"/>
  <c r="AP29"/>
  <c r="AJ29"/>
  <c r="AI29"/>
  <c r="AH29"/>
  <c r="AG29"/>
  <c r="AF29"/>
  <c r="AD29"/>
  <c r="AC29"/>
  <c r="BV28"/>
  <c r="BU28"/>
  <c r="BG28"/>
  <c r="BE28"/>
  <c r="AQ28"/>
  <c r="BF28"/>
  <c r="AP28"/>
  <c r="AJ28"/>
  <c r="AI28"/>
  <c r="AH28"/>
  <c r="AG28"/>
  <c r="AF28"/>
  <c r="AD28"/>
  <c r="AC28"/>
  <c r="BV27"/>
  <c r="BU27"/>
  <c r="BG27"/>
  <c r="BE27"/>
  <c r="AQ27"/>
  <c r="BF27"/>
  <c r="AP27"/>
  <c r="AJ27"/>
  <c r="AI27"/>
  <c r="AH27"/>
  <c r="AG27"/>
  <c r="AF27"/>
  <c r="AD27"/>
  <c r="AC27"/>
  <c r="BV26"/>
  <c r="BU26"/>
  <c r="BG26"/>
  <c r="BE26"/>
  <c r="AQ26"/>
  <c r="BF26"/>
  <c r="AP26"/>
  <c r="AJ26"/>
  <c r="AI26"/>
  <c r="AH26"/>
  <c r="AG26"/>
  <c r="AF26"/>
  <c r="AD26"/>
  <c r="AC26"/>
  <c r="BV25"/>
  <c r="BU25"/>
  <c r="BG25"/>
  <c r="BE25"/>
  <c r="AQ25"/>
  <c r="BF25"/>
  <c r="AP25"/>
  <c r="AJ25"/>
  <c r="AI25"/>
  <c r="AH25"/>
  <c r="AG25"/>
  <c r="AF25"/>
  <c r="AD25"/>
  <c r="AC25"/>
  <c r="BV24"/>
  <c r="BU24"/>
  <c r="BG24"/>
  <c r="BE24"/>
  <c r="AQ24"/>
  <c r="BF24"/>
  <c r="AP24"/>
  <c r="AJ24"/>
  <c r="AI24"/>
  <c r="AH24"/>
  <c r="AG24"/>
  <c r="AF24"/>
  <c r="AD24"/>
  <c r="AC24"/>
  <c r="BV23"/>
  <c r="BU23"/>
  <c r="BG23"/>
  <c r="BE23"/>
  <c r="AQ23"/>
  <c r="BF23"/>
  <c r="AP23"/>
  <c r="AJ23"/>
  <c r="AI23"/>
  <c r="AH23"/>
  <c r="AG23"/>
  <c r="AF23"/>
  <c r="AD23"/>
  <c r="AC23"/>
  <c r="BV22"/>
  <c r="BU22"/>
  <c r="BG22"/>
  <c r="BE22"/>
  <c r="AQ22"/>
  <c r="BF22"/>
  <c r="AP22"/>
  <c r="AJ22"/>
  <c r="AI22"/>
  <c r="AH22"/>
  <c r="AG22"/>
  <c r="AF22"/>
  <c r="AD22"/>
  <c r="AC22"/>
  <c r="BV21"/>
  <c r="BU21"/>
  <c r="BG21"/>
  <c r="BE21"/>
  <c r="AQ21"/>
  <c r="BF21"/>
  <c r="AP21"/>
  <c r="AJ21"/>
  <c r="AI21"/>
  <c r="AG21"/>
  <c r="AF21"/>
  <c r="AD21"/>
  <c r="AC21"/>
  <c r="BV20"/>
  <c r="BU20"/>
  <c r="BG20"/>
  <c r="BE20"/>
  <c r="AR20"/>
  <c r="AQ20"/>
  <c r="BF20"/>
  <c r="AP20"/>
  <c r="AJ20"/>
  <c r="AI20"/>
  <c r="AH20"/>
  <c r="AG20"/>
  <c r="AF20"/>
  <c r="AD20"/>
  <c r="AC20"/>
  <c r="BV19"/>
  <c r="BU19"/>
  <c r="BG19"/>
  <c r="BE19"/>
  <c r="AR19"/>
  <c r="AQ19"/>
  <c r="BF19"/>
  <c r="AP19"/>
  <c r="AJ19"/>
  <c r="AI19"/>
  <c r="AH19"/>
  <c r="AG19"/>
  <c r="AF19"/>
  <c r="AD19"/>
  <c r="AC19"/>
  <c r="BV18"/>
  <c r="BU18"/>
  <c r="BG18"/>
  <c r="BE18"/>
  <c r="AR18"/>
  <c r="AQ18"/>
  <c r="BF18"/>
  <c r="AP18"/>
  <c r="AJ18"/>
  <c r="AI18"/>
  <c r="AH18"/>
  <c r="AG18"/>
  <c r="AF18"/>
  <c r="AD18"/>
  <c r="AC18"/>
  <c r="BV17"/>
  <c r="BU17"/>
  <c r="BG17"/>
  <c r="BE17"/>
  <c r="AR17"/>
  <c r="AQ17"/>
  <c r="BF17"/>
  <c r="AP17"/>
  <c r="AJ17"/>
  <c r="AI17"/>
  <c r="AH17"/>
  <c r="AG17"/>
  <c r="AF17"/>
  <c r="AD17"/>
  <c r="AC17"/>
  <c r="BV16"/>
  <c r="BU16"/>
  <c r="BG16"/>
  <c r="BE16"/>
  <c r="AR16"/>
  <c r="AQ16"/>
  <c r="BF16"/>
  <c r="AP16"/>
  <c r="AJ16"/>
  <c r="AI16"/>
  <c r="AH16"/>
  <c r="AG16"/>
  <c r="AF16"/>
  <c r="AD16"/>
  <c r="AC16"/>
  <c r="BV15"/>
  <c r="BU15"/>
  <c r="BG15"/>
  <c r="BE15"/>
  <c r="AR15"/>
  <c r="AQ15"/>
  <c r="BF15"/>
  <c r="AP15"/>
  <c r="AJ15"/>
  <c r="AI15"/>
  <c r="AH15"/>
  <c r="AG15"/>
  <c r="AF15"/>
  <c r="AD15"/>
  <c r="AC15"/>
  <c r="BV14"/>
  <c r="BU14"/>
  <c r="BG14"/>
  <c r="BE14"/>
  <c r="AR14"/>
  <c r="AQ14"/>
  <c r="BF14"/>
  <c r="AP14"/>
  <c r="AJ14"/>
  <c r="AI14"/>
  <c r="AH14"/>
  <c r="AG14"/>
  <c r="AF14"/>
  <c r="AD14"/>
  <c r="AC14"/>
  <c r="BV13"/>
  <c r="BU13"/>
  <c r="BG13"/>
  <c r="BE13"/>
  <c r="AR13"/>
  <c r="AQ13"/>
  <c r="BF13"/>
  <c r="AP13"/>
  <c r="AJ13"/>
  <c r="AI13"/>
  <c r="AH13"/>
  <c r="AG13"/>
  <c r="AF13"/>
  <c r="AD13"/>
  <c r="AC13"/>
  <c r="BV12"/>
  <c r="BU12"/>
  <c r="BG12"/>
  <c r="BE12"/>
  <c r="AR12"/>
  <c r="AQ12"/>
  <c r="AP12"/>
  <c r="AJ12"/>
  <c r="AI12"/>
  <c r="AH12"/>
  <c r="AG12"/>
  <c r="AF12"/>
  <c r="AD12"/>
  <c r="AC12"/>
  <c r="AC52"/>
  <c r="AG51"/>
  <c r="AD51"/>
  <c r="R40" i="4"/>
  <c r="C40"/>
  <c r="AR38"/>
  <c r="AR37"/>
  <c r="AR47" i="5"/>
  <c r="AI51"/>
  <c r="AG55"/>
  <c r="AH51"/>
  <c r="AD52"/>
  <c r="AI52"/>
  <c r="BG47"/>
  <c r="BE50"/>
  <c r="AD54"/>
  <c r="AC54"/>
  <c r="AG54"/>
  <c r="AH54"/>
  <c r="AC53"/>
  <c r="AF53"/>
  <c r="AD53"/>
  <c r="AJ53"/>
  <c r="AI53"/>
  <c r="AF52"/>
  <c r="BV47"/>
  <c r="AM47"/>
  <c r="AJ52"/>
  <c r="AG52"/>
  <c r="AP47"/>
  <c r="AF47"/>
  <c r="AI47"/>
  <c r="AJ47"/>
  <c r="AG47"/>
  <c r="AQ51"/>
  <c r="BE47"/>
  <c r="AP53"/>
  <c r="AM55"/>
  <c r="AM54"/>
  <c r="AM52"/>
  <c r="AF51"/>
  <c r="AJ51"/>
  <c r="AD47"/>
  <c r="AP55"/>
  <c r="AP52"/>
  <c r="AP54"/>
  <c r="AQ55"/>
  <c r="AM53"/>
  <c r="AF55"/>
  <c r="AF54"/>
  <c r="AQ52"/>
  <c r="AH53"/>
  <c r="AH52"/>
  <c r="AI54"/>
  <c r="AI55"/>
  <c r="AJ55"/>
  <c r="AQ53"/>
  <c r="AC47"/>
  <c r="AJ54"/>
  <c r="AG53"/>
  <c r="AM51"/>
  <c r="AP51"/>
  <c r="BF12"/>
  <c r="AQ54"/>
  <c r="AH47"/>
  <c r="AO40" i="4"/>
  <c r="AN40"/>
  <c r="AL40"/>
  <c r="AK40"/>
  <c r="AR36"/>
  <c r="AJ17"/>
  <c r="AH17"/>
  <c r="AF17"/>
  <c r="AO48"/>
  <c r="AN48"/>
  <c r="AL48"/>
  <c r="AK48"/>
  <c r="AE48"/>
  <c r="AB48"/>
  <c r="AA48"/>
  <c r="Z48"/>
  <c r="Y48"/>
  <c r="X48"/>
  <c r="W48"/>
  <c r="V48"/>
  <c r="U48"/>
  <c r="T48"/>
  <c r="S48"/>
  <c r="R48"/>
  <c r="Q48"/>
  <c r="P48"/>
  <c r="O48"/>
  <c r="N48"/>
  <c r="M48"/>
  <c r="L48"/>
  <c r="K48"/>
  <c r="J48"/>
  <c r="I48"/>
  <c r="H48"/>
  <c r="G48"/>
  <c r="F48"/>
  <c r="E48"/>
  <c r="AO47"/>
  <c r="AN47"/>
  <c r="AL47"/>
  <c r="AK47"/>
  <c r="AE47"/>
  <c r="AB47"/>
  <c r="AA47"/>
  <c r="Z47"/>
  <c r="Y47"/>
  <c r="X47"/>
  <c r="W47"/>
  <c r="V47"/>
  <c r="U47"/>
  <c r="T47"/>
  <c r="S47"/>
  <c r="R47"/>
  <c r="Q47"/>
  <c r="P47"/>
  <c r="O47"/>
  <c r="N47"/>
  <c r="M47"/>
  <c r="L47"/>
  <c r="K47"/>
  <c r="J47"/>
  <c r="I47"/>
  <c r="H47"/>
  <c r="G47"/>
  <c r="F47"/>
  <c r="E47"/>
  <c r="D47"/>
  <c r="C47"/>
  <c r="AO46"/>
  <c r="AN46"/>
  <c r="AL46"/>
  <c r="AK46"/>
  <c r="AE46"/>
  <c r="AB46"/>
  <c r="AA46"/>
  <c r="Z46"/>
  <c r="Y46"/>
  <c r="X46"/>
  <c r="W46"/>
  <c r="V46"/>
  <c r="U46"/>
  <c r="T46"/>
  <c r="S46"/>
  <c r="R46"/>
  <c r="Q46"/>
  <c r="P46"/>
  <c r="O46"/>
  <c r="N46"/>
  <c r="M46"/>
  <c r="L46"/>
  <c r="K46"/>
  <c r="J46"/>
  <c r="I46"/>
  <c r="H46"/>
  <c r="G46"/>
  <c r="F46"/>
  <c r="E46"/>
  <c r="D46"/>
  <c r="C46"/>
  <c r="AO45"/>
  <c r="AN45"/>
  <c r="AL45"/>
  <c r="AK45"/>
  <c r="AE45"/>
  <c r="AB45"/>
  <c r="AA45"/>
  <c r="Z45"/>
  <c r="Y45"/>
  <c r="X45"/>
  <c r="W45"/>
  <c r="V45"/>
  <c r="U45"/>
  <c r="T45"/>
  <c r="S45"/>
  <c r="R45"/>
  <c r="Q45"/>
  <c r="P45"/>
  <c r="N45"/>
  <c r="M45"/>
  <c r="L45"/>
  <c r="K45"/>
  <c r="J45"/>
  <c r="I45"/>
  <c r="H45"/>
  <c r="G45"/>
  <c r="F45"/>
  <c r="E45"/>
  <c r="D45"/>
  <c r="C45"/>
  <c r="AO44"/>
  <c r="AN44"/>
  <c r="AL44"/>
  <c r="AK44"/>
  <c r="AE44"/>
  <c r="AC44"/>
  <c r="AB44"/>
  <c r="AA44"/>
  <c r="Z44"/>
  <c r="Y44"/>
  <c r="X44"/>
  <c r="W44"/>
  <c r="V44"/>
  <c r="U44"/>
  <c r="T44"/>
  <c r="S44"/>
  <c r="R44"/>
  <c r="Q44"/>
  <c r="P44"/>
  <c r="O44"/>
  <c r="N44"/>
  <c r="M44"/>
  <c r="L44"/>
  <c r="K44"/>
  <c r="J44"/>
  <c r="I44"/>
  <c r="H44"/>
  <c r="G44"/>
  <c r="F44"/>
  <c r="E44"/>
  <c r="D44"/>
  <c r="C44"/>
  <c r="BF41"/>
  <c r="CB40"/>
  <c r="CA40"/>
  <c r="BY40"/>
  <c r="BX40"/>
  <c r="BU40"/>
  <c r="BT40"/>
  <c r="BR40"/>
  <c r="BQ40"/>
  <c r="BP40"/>
  <c r="BO40"/>
  <c r="BN40"/>
  <c r="BM40"/>
  <c r="BL40"/>
  <c r="BK40"/>
  <c r="BJ40"/>
  <c r="BI40"/>
  <c r="BH40"/>
  <c r="BD40"/>
  <c r="BC40"/>
  <c r="BB40"/>
  <c r="AZ40"/>
  <c r="AY40"/>
  <c r="AX40"/>
  <c r="AW40"/>
  <c r="AV40"/>
  <c r="AU40"/>
  <c r="AT40"/>
  <c r="AE40"/>
  <c r="AB40"/>
  <c r="AA40"/>
  <c r="Z40"/>
  <c r="Y40"/>
  <c r="X40"/>
  <c r="W40"/>
  <c r="V40"/>
  <c r="T40"/>
  <c r="S40"/>
  <c r="Q40"/>
  <c r="P40"/>
  <c r="O40"/>
  <c r="N40"/>
  <c r="M40"/>
  <c r="L40"/>
  <c r="K40"/>
  <c r="J40"/>
  <c r="I40"/>
  <c r="H40"/>
  <c r="G40"/>
  <c r="F40"/>
  <c r="E40"/>
  <c r="D40"/>
  <c r="BW39"/>
  <c r="BV39"/>
  <c r="BS39"/>
  <c r="BG39"/>
  <c r="BE39"/>
  <c r="AQ39"/>
  <c r="BF39"/>
  <c r="AP39"/>
  <c r="AM39"/>
  <c r="AJ39"/>
  <c r="AI39"/>
  <c r="AH39"/>
  <c r="AG39"/>
  <c r="AF39"/>
  <c r="AD39"/>
  <c r="AC39"/>
  <c r="BW38"/>
  <c r="BV38"/>
  <c r="BS38"/>
  <c r="BG38"/>
  <c r="BE38"/>
  <c r="AQ38"/>
  <c r="BF38"/>
  <c r="AP38"/>
  <c r="AM38"/>
  <c r="AJ38"/>
  <c r="AI38"/>
  <c r="AH38"/>
  <c r="AG38"/>
  <c r="AF38"/>
  <c r="AD38"/>
  <c r="AC38"/>
  <c r="BW37"/>
  <c r="BV37"/>
  <c r="BS37"/>
  <c r="BG37"/>
  <c r="BE37"/>
  <c r="AQ37"/>
  <c r="BF37"/>
  <c r="AP37"/>
  <c r="AM37"/>
  <c r="AJ37"/>
  <c r="AI37"/>
  <c r="AH37"/>
  <c r="AG37"/>
  <c r="AF37"/>
  <c r="AD37"/>
  <c r="AC37"/>
  <c r="BW36"/>
  <c r="BV36"/>
  <c r="BS36"/>
  <c r="BG36"/>
  <c r="BE36"/>
  <c r="AQ36"/>
  <c r="BF36"/>
  <c r="AP36"/>
  <c r="AM36"/>
  <c r="AJ36"/>
  <c r="AI36"/>
  <c r="AH36"/>
  <c r="AG36"/>
  <c r="AF36"/>
  <c r="AD36"/>
  <c r="AC36"/>
  <c r="D48"/>
  <c r="C48"/>
  <c r="BW35"/>
  <c r="BV35"/>
  <c r="BS35"/>
  <c r="BG35"/>
  <c r="BE35"/>
  <c r="AR35"/>
  <c r="AQ35"/>
  <c r="BF35"/>
  <c r="AP35"/>
  <c r="AM35"/>
  <c r="AJ35"/>
  <c r="AI35"/>
  <c r="AH35"/>
  <c r="AG35"/>
  <c r="AF35"/>
  <c r="AD35"/>
  <c r="AC35"/>
  <c r="BW34"/>
  <c r="BV34"/>
  <c r="BS34"/>
  <c r="BG34"/>
  <c r="BE34"/>
  <c r="AR34"/>
  <c r="AQ34"/>
  <c r="BF34"/>
  <c r="AP34"/>
  <c r="AM34"/>
  <c r="AJ34"/>
  <c r="AI34"/>
  <c r="AH34"/>
  <c r="AG34"/>
  <c r="AF34"/>
  <c r="AD34"/>
  <c r="AC34"/>
  <c r="BW33"/>
  <c r="BV33"/>
  <c r="BS33"/>
  <c r="BG33"/>
  <c r="BE33"/>
  <c r="AR33"/>
  <c r="AQ33"/>
  <c r="AP33"/>
  <c r="AM33"/>
  <c r="AJ33"/>
  <c r="AI33"/>
  <c r="AH33"/>
  <c r="AG33"/>
  <c r="AF33"/>
  <c r="AD33"/>
  <c r="AC33"/>
  <c r="BW32"/>
  <c r="BV32"/>
  <c r="BS32"/>
  <c r="BG32"/>
  <c r="BE32"/>
  <c r="AR32"/>
  <c r="AQ32"/>
  <c r="BF32"/>
  <c r="AP32"/>
  <c r="AM32"/>
  <c r="AJ32"/>
  <c r="AI32"/>
  <c r="AH32"/>
  <c r="AG32"/>
  <c r="AF32"/>
  <c r="AD32"/>
  <c r="AC32"/>
  <c r="BW31"/>
  <c r="BV31"/>
  <c r="BS31"/>
  <c r="BG31"/>
  <c r="BE31"/>
  <c r="AR31"/>
  <c r="AQ31"/>
  <c r="BF31"/>
  <c r="AP31"/>
  <c r="AM31"/>
  <c r="AJ31"/>
  <c r="AI31"/>
  <c r="AH31"/>
  <c r="AG31"/>
  <c r="AF31"/>
  <c r="AD31"/>
  <c r="AC31"/>
  <c r="BW30"/>
  <c r="BV30"/>
  <c r="BS30"/>
  <c r="BG30"/>
  <c r="BE30"/>
  <c r="AR30"/>
  <c r="AQ30"/>
  <c r="BF30"/>
  <c r="AP30"/>
  <c r="AM30"/>
  <c r="AJ30"/>
  <c r="AI30"/>
  <c r="AH30"/>
  <c r="AG30"/>
  <c r="AF30"/>
  <c r="AD30"/>
  <c r="AC30"/>
  <c r="BW29"/>
  <c r="BV29"/>
  <c r="BS29"/>
  <c r="BG29"/>
  <c r="BE29"/>
  <c r="AR29"/>
  <c r="AQ29"/>
  <c r="BF29"/>
  <c r="AP29"/>
  <c r="AM29"/>
  <c r="AJ29"/>
  <c r="AI29"/>
  <c r="AH29"/>
  <c r="AG29"/>
  <c r="AF29"/>
  <c r="AD29"/>
  <c r="AC29"/>
  <c r="BW28"/>
  <c r="BV28"/>
  <c r="BS28"/>
  <c r="BG28"/>
  <c r="BE28"/>
  <c r="AR28"/>
  <c r="AQ28"/>
  <c r="BF28"/>
  <c r="AP28"/>
  <c r="AM28"/>
  <c r="AJ28"/>
  <c r="AI28"/>
  <c r="AH28"/>
  <c r="AG28"/>
  <c r="AF28"/>
  <c r="AD28"/>
  <c r="AC28"/>
  <c r="BW27"/>
  <c r="BV27"/>
  <c r="BS27"/>
  <c r="BG27"/>
  <c r="BE27"/>
  <c r="BE43"/>
  <c r="AR27"/>
  <c r="AQ27"/>
  <c r="BF27"/>
  <c r="AP27"/>
  <c r="AM27"/>
  <c r="AJ27"/>
  <c r="AI27"/>
  <c r="AH27"/>
  <c r="AG27"/>
  <c r="AF27"/>
  <c r="AD27"/>
  <c r="AC27"/>
  <c r="BW26"/>
  <c r="BV26"/>
  <c r="BS26"/>
  <c r="BG26"/>
  <c r="BE26"/>
  <c r="AR26"/>
  <c r="AQ26"/>
  <c r="BF26"/>
  <c r="AP26"/>
  <c r="AM26"/>
  <c r="AJ26"/>
  <c r="AI26"/>
  <c r="AH26"/>
  <c r="AG26"/>
  <c r="AF26"/>
  <c r="AF47"/>
  <c r="AD26"/>
  <c r="AC26"/>
  <c r="AC47"/>
  <c r="BW25"/>
  <c r="BV25"/>
  <c r="BS25"/>
  <c r="BG25"/>
  <c r="BE25"/>
  <c r="AR25"/>
  <c r="AQ25"/>
  <c r="BF25"/>
  <c r="AP25"/>
  <c r="AM25"/>
  <c r="AJ25"/>
  <c r="AI25"/>
  <c r="AH25"/>
  <c r="AG25"/>
  <c r="AF25"/>
  <c r="AD25"/>
  <c r="AC25"/>
  <c r="BW24"/>
  <c r="BV24"/>
  <c r="BS24"/>
  <c r="BG24"/>
  <c r="BE24"/>
  <c r="AR24"/>
  <c r="AQ24"/>
  <c r="BF24"/>
  <c r="AP24"/>
  <c r="AM24"/>
  <c r="AJ24"/>
  <c r="AI24"/>
  <c r="AH24"/>
  <c r="AG24"/>
  <c r="AF24"/>
  <c r="AD24"/>
  <c r="AC24"/>
  <c r="BW23"/>
  <c r="BV23"/>
  <c r="BS23"/>
  <c r="BG23"/>
  <c r="BE23"/>
  <c r="AR23"/>
  <c r="AQ23"/>
  <c r="BF23"/>
  <c r="AP23"/>
  <c r="AM23"/>
  <c r="AJ23"/>
  <c r="AI23"/>
  <c r="AH23"/>
  <c r="AG23"/>
  <c r="AF23"/>
  <c r="AD23"/>
  <c r="AC23"/>
  <c r="BW22"/>
  <c r="BV22"/>
  <c r="BS22"/>
  <c r="BG22"/>
  <c r="BE22"/>
  <c r="AR22"/>
  <c r="AQ22"/>
  <c r="BF22"/>
  <c r="AP22"/>
  <c r="AM22"/>
  <c r="AJ22"/>
  <c r="AI22"/>
  <c r="AH22"/>
  <c r="AG22"/>
  <c r="AF22"/>
  <c r="AD22"/>
  <c r="AC22"/>
  <c r="BW21"/>
  <c r="BV21"/>
  <c r="BS21"/>
  <c r="BG21"/>
  <c r="BE21"/>
  <c r="AR21"/>
  <c r="AQ21"/>
  <c r="BF21"/>
  <c r="AP21"/>
  <c r="AM21"/>
  <c r="AJ21"/>
  <c r="AI21"/>
  <c r="AH21"/>
  <c r="AG21"/>
  <c r="AF21"/>
  <c r="AD21"/>
  <c r="AC21"/>
  <c r="BW20"/>
  <c r="BV20"/>
  <c r="BS20"/>
  <c r="BG20"/>
  <c r="BE20"/>
  <c r="AR20"/>
  <c r="AQ20"/>
  <c r="BF20"/>
  <c r="AP20"/>
  <c r="AM20"/>
  <c r="AJ20"/>
  <c r="AI20"/>
  <c r="AH20"/>
  <c r="AG20"/>
  <c r="AF20"/>
  <c r="AD20"/>
  <c r="AC20"/>
  <c r="BW19"/>
  <c r="BV19"/>
  <c r="BS19"/>
  <c r="BG19"/>
  <c r="BE19"/>
  <c r="AR19"/>
  <c r="AQ19"/>
  <c r="AP19"/>
  <c r="AM19"/>
  <c r="AJ19"/>
  <c r="AI19"/>
  <c r="AH19"/>
  <c r="AG19"/>
  <c r="AF19"/>
  <c r="AD19"/>
  <c r="AC19"/>
  <c r="BW18"/>
  <c r="BV18"/>
  <c r="BS18"/>
  <c r="BG18"/>
  <c r="BE18"/>
  <c r="AR18"/>
  <c r="AQ18"/>
  <c r="BF18"/>
  <c r="AP18"/>
  <c r="AM18"/>
  <c r="AJ18"/>
  <c r="AI18"/>
  <c r="AH18"/>
  <c r="AG18"/>
  <c r="AF18"/>
  <c r="AD18"/>
  <c r="AC18"/>
  <c r="BW17"/>
  <c r="BV17"/>
  <c r="BS17"/>
  <c r="BG17"/>
  <c r="BE17"/>
  <c r="AR17"/>
  <c r="AQ17"/>
  <c r="BF17"/>
  <c r="AP17"/>
  <c r="AM17"/>
  <c r="AI17"/>
  <c r="AG17"/>
  <c r="AD17"/>
  <c r="AC17"/>
  <c r="BW16"/>
  <c r="BV16"/>
  <c r="BS16"/>
  <c r="BG16"/>
  <c r="BE16"/>
  <c r="AR16"/>
  <c r="AQ16"/>
  <c r="BF16"/>
  <c r="AP16"/>
  <c r="AM16"/>
  <c r="AJ16"/>
  <c r="AI16"/>
  <c r="AH16"/>
  <c r="AG16"/>
  <c r="AF16"/>
  <c r="AD16"/>
  <c r="AC16"/>
  <c r="BW15"/>
  <c r="BV15"/>
  <c r="BS15"/>
  <c r="BG15"/>
  <c r="BE15"/>
  <c r="AR15"/>
  <c r="AQ15"/>
  <c r="BF15"/>
  <c r="AP15"/>
  <c r="AM15"/>
  <c r="AJ15"/>
  <c r="AI15"/>
  <c r="AH15"/>
  <c r="AG15"/>
  <c r="AF15"/>
  <c r="AD15"/>
  <c r="AC15"/>
  <c r="BW14"/>
  <c r="BV14"/>
  <c r="BS14"/>
  <c r="BG14"/>
  <c r="BE14"/>
  <c r="AR14"/>
  <c r="AQ14"/>
  <c r="BF14"/>
  <c r="AP14"/>
  <c r="AM14"/>
  <c r="AJ14"/>
  <c r="AI14"/>
  <c r="AH14"/>
  <c r="AG14"/>
  <c r="AF14"/>
  <c r="AD14"/>
  <c r="AC14"/>
  <c r="BW13"/>
  <c r="BV13"/>
  <c r="BS13"/>
  <c r="BG13"/>
  <c r="BE13"/>
  <c r="AR13"/>
  <c r="AQ13"/>
  <c r="BF13"/>
  <c r="AP13"/>
  <c r="AM13"/>
  <c r="AJ13"/>
  <c r="AI13"/>
  <c r="AH13"/>
  <c r="AG13"/>
  <c r="AF13"/>
  <c r="AD13"/>
  <c r="AC13"/>
  <c r="BW12"/>
  <c r="BV12"/>
  <c r="BS12"/>
  <c r="BG12"/>
  <c r="BE12"/>
  <c r="AR12"/>
  <c r="AQ12"/>
  <c r="AP12"/>
  <c r="AM12"/>
  <c r="AJ12"/>
  <c r="AI12"/>
  <c r="AH12"/>
  <c r="AG12"/>
  <c r="AF12"/>
  <c r="AD12"/>
  <c r="AC12"/>
  <c r="BW11"/>
  <c r="BV11"/>
  <c r="BS11"/>
  <c r="BG11"/>
  <c r="BE11"/>
  <c r="AR11"/>
  <c r="AQ11"/>
  <c r="BF11"/>
  <c r="AP11"/>
  <c r="AM11"/>
  <c r="AJ11"/>
  <c r="AI11"/>
  <c r="AH11"/>
  <c r="AG11"/>
  <c r="AF11"/>
  <c r="AD11"/>
  <c r="AC11"/>
  <c r="BW10"/>
  <c r="BV10"/>
  <c r="BS10"/>
  <c r="BG10"/>
  <c r="BE10"/>
  <c r="AR10"/>
  <c r="AQ10"/>
  <c r="BF10"/>
  <c r="AP10"/>
  <c r="AM10"/>
  <c r="AJ10"/>
  <c r="AI10"/>
  <c r="AH10"/>
  <c r="AG10"/>
  <c r="AF10"/>
  <c r="AD10"/>
  <c r="AC10"/>
  <c r="BW9"/>
  <c r="BV9"/>
  <c r="BS9"/>
  <c r="BG9"/>
  <c r="BE9"/>
  <c r="AR9"/>
  <c r="AQ9"/>
  <c r="BF9"/>
  <c r="AP9"/>
  <c r="AM9"/>
  <c r="AJ9"/>
  <c r="AI9"/>
  <c r="AH9"/>
  <c r="AG9"/>
  <c r="AF9"/>
  <c r="AD9"/>
  <c r="AC9"/>
  <c r="BW8"/>
  <c r="BV8"/>
  <c r="BS8"/>
  <c r="BG8"/>
  <c r="BE8"/>
  <c r="AR8"/>
  <c r="AQ8"/>
  <c r="BF8"/>
  <c r="AP8"/>
  <c r="AM8"/>
  <c r="AJ8"/>
  <c r="AI8"/>
  <c r="AH8"/>
  <c r="AG8"/>
  <c r="AF8"/>
  <c r="AD8"/>
  <c r="AC8"/>
  <c r="BW7"/>
  <c r="BV7"/>
  <c r="BS7"/>
  <c r="BG7"/>
  <c r="BE7"/>
  <c r="AR7"/>
  <c r="AQ7"/>
  <c r="BF7"/>
  <c r="AP7"/>
  <c r="AM7"/>
  <c r="AJ7"/>
  <c r="AI7"/>
  <c r="AH7"/>
  <c r="AG7"/>
  <c r="AF7"/>
  <c r="AD7"/>
  <c r="AC7"/>
  <c r="BW6"/>
  <c r="BV6"/>
  <c r="BS6"/>
  <c r="BG6"/>
  <c r="BE6"/>
  <c r="AR6"/>
  <c r="AQ6"/>
  <c r="BF6"/>
  <c r="AP6"/>
  <c r="AM6"/>
  <c r="AJ6"/>
  <c r="AI6"/>
  <c r="AH6"/>
  <c r="AG6"/>
  <c r="AF6"/>
  <c r="AD6"/>
  <c r="AC6"/>
  <c r="BW5"/>
  <c r="BV5"/>
  <c r="BS5"/>
  <c r="BG5"/>
  <c r="BE5"/>
  <c r="AR5"/>
  <c r="AQ5"/>
  <c r="AP5"/>
  <c r="AM5"/>
  <c r="AJ5"/>
  <c r="AI5"/>
  <c r="AH5"/>
  <c r="AG5"/>
  <c r="AF5"/>
  <c r="AD5"/>
  <c r="AD44"/>
  <c r="AC5"/>
  <c r="AJ35" i="3"/>
  <c r="AG35"/>
  <c r="AF35"/>
  <c r="AF34"/>
  <c r="AH33"/>
  <c r="AJ33"/>
  <c r="AG33"/>
  <c r="AF33"/>
  <c r="AD28"/>
  <c r="AQ47" i="5"/>
  <c r="BF47"/>
  <c r="AP40" i="4"/>
  <c r="AM40"/>
  <c r="AF48"/>
  <c r="AD48"/>
  <c r="AG48"/>
  <c r="AC48"/>
  <c r="AQ48"/>
  <c r="AH48"/>
  <c r="AP47"/>
  <c r="AJ47"/>
  <c r="AJ48"/>
  <c r="AI48"/>
  <c r="AD47"/>
  <c r="AH47"/>
  <c r="AM47"/>
  <c r="AG46"/>
  <c r="AC46"/>
  <c r="AP46"/>
  <c r="AI47"/>
  <c r="BW40"/>
  <c r="BG40"/>
  <c r="AF45"/>
  <c r="AJ45"/>
  <c r="AM45"/>
  <c r="AG44"/>
  <c r="AF44"/>
  <c r="AI44"/>
  <c r="AP48"/>
  <c r="AM48"/>
  <c r="AQ44"/>
  <c r="AP44"/>
  <c r="AH44"/>
  <c r="AP45"/>
  <c r="AM46"/>
  <c r="AH46"/>
  <c r="AQ45"/>
  <c r="AH45"/>
  <c r="AF46"/>
  <c r="AG45"/>
  <c r="AD46"/>
  <c r="AI46"/>
  <c r="AQ46"/>
  <c r="AG47"/>
  <c r="AI45"/>
  <c r="AD40"/>
  <c r="AD45"/>
  <c r="AC45"/>
  <c r="BF12"/>
  <c r="AJ46"/>
  <c r="BE40"/>
  <c r="AC40"/>
  <c r="AJ44"/>
  <c r="AM44"/>
  <c r="AH40"/>
  <c r="BF5"/>
  <c r="BF33"/>
  <c r="AQ47"/>
  <c r="BF19"/>
  <c r="E48" i="3"/>
  <c r="E47"/>
  <c r="E46"/>
  <c r="E45"/>
  <c r="E44"/>
  <c r="Y48"/>
  <c r="Y47"/>
  <c r="Y46"/>
  <c r="Y45"/>
  <c r="Y44"/>
  <c r="Z48"/>
  <c r="Z47"/>
  <c r="Z46"/>
  <c r="Z45"/>
  <c r="Z44"/>
  <c r="X48"/>
  <c r="W48"/>
  <c r="V48"/>
  <c r="U48"/>
  <c r="T48"/>
  <c r="S48"/>
  <c r="R48"/>
  <c r="Q48"/>
  <c r="P48"/>
  <c r="O48"/>
  <c r="N48"/>
  <c r="M48"/>
  <c r="L48"/>
  <c r="I48"/>
  <c r="H48"/>
  <c r="D48"/>
  <c r="F48"/>
  <c r="G48"/>
  <c r="C48"/>
  <c r="F47"/>
  <c r="G47"/>
  <c r="D47"/>
  <c r="C47"/>
  <c r="K48"/>
  <c r="J48"/>
  <c r="AA48"/>
  <c r="AA46"/>
  <c r="AB48"/>
  <c r="AB47"/>
  <c r="AB46"/>
  <c r="AB45"/>
  <c r="AA45"/>
  <c r="AB44"/>
  <c r="AA44"/>
  <c r="X44"/>
  <c r="W44"/>
  <c r="V44"/>
  <c r="U44"/>
  <c r="T44"/>
  <c r="S44"/>
  <c r="R44"/>
  <c r="F44"/>
  <c r="G44"/>
  <c r="D44"/>
  <c r="C44"/>
  <c r="AI26"/>
  <c r="AI27"/>
  <c r="AI28"/>
  <c r="AI29"/>
  <c r="AI30"/>
  <c r="AI31"/>
  <c r="AI32"/>
  <c r="AI33"/>
  <c r="AI34"/>
  <c r="AI35"/>
  <c r="AI36"/>
  <c r="AI37"/>
  <c r="AI38"/>
  <c r="AI39"/>
  <c r="AI17"/>
  <c r="AI18"/>
  <c r="AI19"/>
  <c r="AI20"/>
  <c r="AI21"/>
  <c r="AI22"/>
  <c r="AI23"/>
  <c r="AI24"/>
  <c r="AI25"/>
  <c r="AI16"/>
  <c r="AJ29"/>
  <c r="T41" i="1"/>
  <c r="S41"/>
  <c r="AR37"/>
  <c r="R41"/>
  <c r="G41"/>
  <c r="D41"/>
  <c r="C41"/>
  <c r="BW41"/>
  <c r="CB40" i="3"/>
  <c r="CA40"/>
  <c r="BY40"/>
  <c r="BX40"/>
  <c r="BU40"/>
  <c r="BT40"/>
  <c r="BQ40"/>
  <c r="BR40"/>
  <c r="BO40"/>
  <c r="BP40"/>
  <c r="BK40"/>
  <c r="BL40"/>
  <c r="BM40"/>
  <c r="BN40"/>
  <c r="BJ40"/>
  <c r="BI40"/>
  <c r="BH40"/>
  <c r="BC40"/>
  <c r="BD40"/>
  <c r="BB40"/>
  <c r="AU40"/>
  <c r="AV40"/>
  <c r="AW40"/>
  <c r="AX40"/>
  <c r="AY40"/>
  <c r="AZ40"/>
  <c r="AT40"/>
  <c r="AO40"/>
  <c r="AN40"/>
  <c r="AL40"/>
  <c r="AK40"/>
  <c r="AE40"/>
  <c r="AB40"/>
  <c r="AA40"/>
  <c r="Z40"/>
  <c r="Y40"/>
  <c r="X40"/>
  <c r="W40"/>
  <c r="V40"/>
  <c r="S40"/>
  <c r="T40"/>
  <c r="R40"/>
  <c r="Q40"/>
  <c r="P40"/>
  <c r="O40"/>
  <c r="N40"/>
  <c r="M40"/>
  <c r="L40"/>
  <c r="K40"/>
  <c r="J40"/>
  <c r="I40"/>
  <c r="H40"/>
  <c r="G40"/>
  <c r="F40"/>
  <c r="E40"/>
  <c r="D40"/>
  <c r="C40"/>
  <c r="AR33"/>
  <c r="AR34"/>
  <c r="AR35"/>
  <c r="AQ33"/>
  <c r="BF33"/>
  <c r="AQ34"/>
  <c r="BF34"/>
  <c r="AQ35"/>
  <c r="BF35"/>
  <c r="AJ34"/>
  <c r="AJ36"/>
  <c r="AH34"/>
  <c r="AH35"/>
  <c r="AH36"/>
  <c r="AH37"/>
  <c r="AG34"/>
  <c r="AG36"/>
  <c r="AD33"/>
  <c r="AD34"/>
  <c r="AD35"/>
  <c r="AC33"/>
  <c r="AC34"/>
  <c r="AC35"/>
  <c r="AR5"/>
  <c r="AR6"/>
  <c r="AR7"/>
  <c r="AQ5"/>
  <c r="AQ6"/>
  <c r="BF6"/>
  <c r="AQ7"/>
  <c r="AJ5"/>
  <c r="AJ6"/>
  <c r="AJ7"/>
  <c r="AI5"/>
  <c r="AI6"/>
  <c r="AI7"/>
  <c r="AH5"/>
  <c r="AH6"/>
  <c r="AH7"/>
  <c r="AG5"/>
  <c r="AG6"/>
  <c r="AG7"/>
  <c r="AF5"/>
  <c r="AF6"/>
  <c r="AF7"/>
  <c r="AD5"/>
  <c r="AD6"/>
  <c r="AD7"/>
  <c r="AC5"/>
  <c r="AC6"/>
  <c r="AC7"/>
  <c r="AO48"/>
  <c r="AN48"/>
  <c r="AL48"/>
  <c r="AK48"/>
  <c r="AE48"/>
  <c r="AO47"/>
  <c r="AN47"/>
  <c r="AL47"/>
  <c r="AK47"/>
  <c r="AE47"/>
  <c r="AA47"/>
  <c r="X47"/>
  <c r="W47"/>
  <c r="V47"/>
  <c r="U47"/>
  <c r="T47"/>
  <c r="S47"/>
  <c r="R47"/>
  <c r="Q47"/>
  <c r="P47"/>
  <c r="O47"/>
  <c r="N47"/>
  <c r="M47"/>
  <c r="L47"/>
  <c r="K47"/>
  <c r="J47"/>
  <c r="I47"/>
  <c r="H47"/>
  <c r="AX46"/>
  <c r="AO46"/>
  <c r="AN46"/>
  <c r="AL46"/>
  <c r="AK46"/>
  <c r="AE46"/>
  <c r="X46"/>
  <c r="W46"/>
  <c r="V46"/>
  <c r="U46"/>
  <c r="T46"/>
  <c r="S46"/>
  <c r="R46"/>
  <c r="Q46"/>
  <c r="P46"/>
  <c r="O46"/>
  <c r="N46"/>
  <c r="M46"/>
  <c r="L46"/>
  <c r="K46"/>
  <c r="J46"/>
  <c r="I46"/>
  <c r="H46"/>
  <c r="G46"/>
  <c r="F46"/>
  <c r="D46"/>
  <c r="C46"/>
  <c r="AX45"/>
  <c r="AO45"/>
  <c r="AN45"/>
  <c r="AL45"/>
  <c r="AK45"/>
  <c r="AE45"/>
  <c r="X45"/>
  <c r="W45"/>
  <c r="V45"/>
  <c r="U45"/>
  <c r="T45"/>
  <c r="S45"/>
  <c r="R45"/>
  <c r="Q45"/>
  <c r="P45"/>
  <c r="N45"/>
  <c r="M45"/>
  <c r="L45"/>
  <c r="K45"/>
  <c r="J45"/>
  <c r="I45"/>
  <c r="H45"/>
  <c r="G45"/>
  <c r="F45"/>
  <c r="D45"/>
  <c r="C45"/>
  <c r="AO44"/>
  <c r="AN44"/>
  <c r="AL44"/>
  <c r="AK44"/>
  <c r="AE44"/>
  <c r="AC44"/>
  <c r="Q44"/>
  <c r="P44"/>
  <c r="O44"/>
  <c r="N44"/>
  <c r="M44"/>
  <c r="L44"/>
  <c r="K44"/>
  <c r="J44"/>
  <c r="I44"/>
  <c r="H44"/>
  <c r="BF41"/>
  <c r="BW39"/>
  <c r="BV39"/>
  <c r="BS39"/>
  <c r="BG39"/>
  <c r="BE39"/>
  <c r="AQ39"/>
  <c r="BF39"/>
  <c r="AP39"/>
  <c r="AM39"/>
  <c r="AJ39"/>
  <c r="AH39"/>
  <c r="AG39"/>
  <c r="AF39"/>
  <c r="AD39"/>
  <c r="AC39"/>
  <c r="BW38"/>
  <c r="BV38"/>
  <c r="BS38"/>
  <c r="BG38"/>
  <c r="BE38"/>
  <c r="AQ38"/>
  <c r="BF38"/>
  <c r="AP38"/>
  <c r="AM38"/>
  <c r="AJ38"/>
  <c r="AH38"/>
  <c r="AG38"/>
  <c r="AF38"/>
  <c r="AD38"/>
  <c r="AC38"/>
  <c r="BW37"/>
  <c r="BV37"/>
  <c r="BS37"/>
  <c r="BG37"/>
  <c r="BE37"/>
  <c r="AQ37"/>
  <c r="BF37"/>
  <c r="AP37"/>
  <c r="AM37"/>
  <c r="AJ37"/>
  <c r="AG37"/>
  <c r="AF37"/>
  <c r="AD37"/>
  <c r="AC37"/>
  <c r="BW36"/>
  <c r="BV36"/>
  <c r="BS36"/>
  <c r="BG36"/>
  <c r="BE36"/>
  <c r="AQ36"/>
  <c r="BF36"/>
  <c r="AP36"/>
  <c r="AM36"/>
  <c r="AF36"/>
  <c r="AD36"/>
  <c r="AC36"/>
  <c r="BW35"/>
  <c r="BV35"/>
  <c r="BS35"/>
  <c r="BG35"/>
  <c r="BE35"/>
  <c r="AP35"/>
  <c r="AM35"/>
  <c r="BW34"/>
  <c r="BV34"/>
  <c r="BS34"/>
  <c r="BG34"/>
  <c r="BE34"/>
  <c r="AP34"/>
  <c r="AM34"/>
  <c r="BW33"/>
  <c r="BV33"/>
  <c r="BS33"/>
  <c r="BG33"/>
  <c r="BE33"/>
  <c r="AP33"/>
  <c r="AM33"/>
  <c r="BW32"/>
  <c r="BV32"/>
  <c r="BS32"/>
  <c r="BG32"/>
  <c r="BE32"/>
  <c r="AR32"/>
  <c r="AQ32"/>
  <c r="BF32"/>
  <c r="AP32"/>
  <c r="AM32"/>
  <c r="AJ32"/>
  <c r="AH32"/>
  <c r="AG32"/>
  <c r="AF32"/>
  <c r="AD32"/>
  <c r="AC32"/>
  <c r="BW31"/>
  <c r="BV31"/>
  <c r="BS31"/>
  <c r="BG31"/>
  <c r="BE31"/>
  <c r="AR31"/>
  <c r="AQ31"/>
  <c r="BF31"/>
  <c r="AP31"/>
  <c r="AM31"/>
  <c r="AJ31"/>
  <c r="AH31"/>
  <c r="AG31"/>
  <c r="AF31"/>
  <c r="AD31"/>
  <c r="AC31"/>
  <c r="BW30"/>
  <c r="BV30"/>
  <c r="BS30"/>
  <c r="BG30"/>
  <c r="BE30"/>
  <c r="AR30"/>
  <c r="AQ30"/>
  <c r="BF30"/>
  <c r="AP30"/>
  <c r="AM30"/>
  <c r="AJ30"/>
  <c r="AH30"/>
  <c r="AG30"/>
  <c r="AF30"/>
  <c r="AD30"/>
  <c r="AC30"/>
  <c r="BW29"/>
  <c r="BV29"/>
  <c r="BS29"/>
  <c r="BG29"/>
  <c r="BE29"/>
  <c r="AR29"/>
  <c r="AQ29"/>
  <c r="BF29"/>
  <c r="AP29"/>
  <c r="AM29"/>
  <c r="AH29"/>
  <c r="AG29"/>
  <c r="AF29"/>
  <c r="AD29"/>
  <c r="AC29"/>
  <c r="BW28"/>
  <c r="BV28"/>
  <c r="BS28"/>
  <c r="BG28"/>
  <c r="BE28"/>
  <c r="AR28"/>
  <c r="AQ28"/>
  <c r="BF28"/>
  <c r="AP28"/>
  <c r="AM28"/>
  <c r="AJ28"/>
  <c r="AH28"/>
  <c r="AG28"/>
  <c r="AF28"/>
  <c r="AC28"/>
  <c r="BW27"/>
  <c r="BV27"/>
  <c r="BS27"/>
  <c r="BG27"/>
  <c r="BE27"/>
  <c r="AR27"/>
  <c r="AQ27"/>
  <c r="BF27"/>
  <c r="AP27"/>
  <c r="AM27"/>
  <c r="AJ27"/>
  <c r="AH27"/>
  <c r="AG27"/>
  <c r="AF27"/>
  <c r="AD27"/>
  <c r="AC27"/>
  <c r="BW26"/>
  <c r="BV26"/>
  <c r="BS26"/>
  <c r="BG26"/>
  <c r="BE26"/>
  <c r="AR26"/>
  <c r="AQ26"/>
  <c r="AP26"/>
  <c r="AM26"/>
  <c r="AJ26"/>
  <c r="AH26"/>
  <c r="AG26"/>
  <c r="AF26"/>
  <c r="AD26"/>
  <c r="AC26"/>
  <c r="BW25"/>
  <c r="BV25"/>
  <c r="BS25"/>
  <c r="BG25"/>
  <c r="BE25"/>
  <c r="AR25"/>
  <c r="AQ25"/>
  <c r="BF25"/>
  <c r="AP25"/>
  <c r="AM25"/>
  <c r="AJ25"/>
  <c r="AH25"/>
  <c r="AG25"/>
  <c r="AF25"/>
  <c r="AD25"/>
  <c r="AC25"/>
  <c r="BW24"/>
  <c r="BV24"/>
  <c r="BS24"/>
  <c r="BG24"/>
  <c r="BE24"/>
  <c r="AR24"/>
  <c r="AQ24"/>
  <c r="BF24"/>
  <c r="AP24"/>
  <c r="AM24"/>
  <c r="AJ24"/>
  <c r="AH24"/>
  <c r="AG24"/>
  <c r="AF24"/>
  <c r="AD24"/>
  <c r="AC24"/>
  <c r="BW23"/>
  <c r="BV23"/>
  <c r="BS23"/>
  <c r="BG23"/>
  <c r="BE23"/>
  <c r="AR23"/>
  <c r="AQ23"/>
  <c r="BF23"/>
  <c r="AP23"/>
  <c r="AM23"/>
  <c r="AJ23"/>
  <c r="AH23"/>
  <c r="AG23"/>
  <c r="AF23"/>
  <c r="AD23"/>
  <c r="AC23"/>
  <c r="BW22"/>
  <c r="BV22"/>
  <c r="BS22"/>
  <c r="BG22"/>
  <c r="BE22"/>
  <c r="AR22"/>
  <c r="AQ22"/>
  <c r="BF22"/>
  <c r="AP22"/>
  <c r="AM22"/>
  <c r="AJ22"/>
  <c r="AH22"/>
  <c r="AG22"/>
  <c r="AF22"/>
  <c r="AD22"/>
  <c r="AC22"/>
  <c r="BW21"/>
  <c r="BV21"/>
  <c r="BS21"/>
  <c r="BG21"/>
  <c r="BE21"/>
  <c r="AR21"/>
  <c r="AQ21"/>
  <c r="BF21"/>
  <c r="AP21"/>
  <c r="AM21"/>
  <c r="AJ21"/>
  <c r="AH21"/>
  <c r="AG21"/>
  <c r="AF21"/>
  <c r="AD21"/>
  <c r="AC21"/>
  <c r="BW20"/>
  <c r="BV20"/>
  <c r="BS20"/>
  <c r="BG20"/>
  <c r="BE20"/>
  <c r="AR20"/>
  <c r="AQ20"/>
  <c r="BF20"/>
  <c r="AP20"/>
  <c r="AM20"/>
  <c r="AJ20"/>
  <c r="AH20"/>
  <c r="AG20"/>
  <c r="AF20"/>
  <c r="AD20"/>
  <c r="AC20"/>
  <c r="BW19"/>
  <c r="BV19"/>
  <c r="BS19"/>
  <c r="BG19"/>
  <c r="BE19"/>
  <c r="AR19"/>
  <c r="AQ19"/>
  <c r="AP19"/>
  <c r="AM19"/>
  <c r="AJ19"/>
  <c r="AH19"/>
  <c r="AG19"/>
  <c r="AF19"/>
  <c r="AD19"/>
  <c r="AC19"/>
  <c r="BW18"/>
  <c r="BV18"/>
  <c r="BS18"/>
  <c r="BG18"/>
  <c r="BE18"/>
  <c r="AR18"/>
  <c r="AQ18"/>
  <c r="BF18"/>
  <c r="AP18"/>
  <c r="AM18"/>
  <c r="AJ18"/>
  <c r="AH18"/>
  <c r="AG18"/>
  <c r="AF18"/>
  <c r="AD18"/>
  <c r="AC18"/>
  <c r="BW17"/>
  <c r="BV17"/>
  <c r="BS17"/>
  <c r="BG17"/>
  <c r="BE17"/>
  <c r="AR17"/>
  <c r="AQ17"/>
  <c r="BF17"/>
  <c r="AP17"/>
  <c r="AM17"/>
  <c r="AJ17"/>
  <c r="AH17"/>
  <c r="AG17"/>
  <c r="AF17"/>
  <c r="AD17"/>
  <c r="AC17"/>
  <c r="BW16"/>
  <c r="BV16"/>
  <c r="BS16"/>
  <c r="BG16"/>
  <c r="BE16"/>
  <c r="AR16"/>
  <c r="AQ16"/>
  <c r="BF16"/>
  <c r="AP16"/>
  <c r="AM16"/>
  <c r="AJ16"/>
  <c r="AH16"/>
  <c r="AG16"/>
  <c r="AF16"/>
  <c r="AD16"/>
  <c r="AC16"/>
  <c r="BW15"/>
  <c r="BV15"/>
  <c r="BS15"/>
  <c r="BG15"/>
  <c r="BE15"/>
  <c r="AR15"/>
  <c r="AQ15"/>
  <c r="BF15"/>
  <c r="AP15"/>
  <c r="AM15"/>
  <c r="AJ15"/>
  <c r="AI15"/>
  <c r="AH15"/>
  <c r="AG15"/>
  <c r="AF15"/>
  <c r="AD15"/>
  <c r="AC15"/>
  <c r="BW14"/>
  <c r="BV14"/>
  <c r="BS14"/>
  <c r="BG14"/>
  <c r="BE14"/>
  <c r="AR14"/>
  <c r="AQ14"/>
  <c r="BF14"/>
  <c r="AP14"/>
  <c r="AM14"/>
  <c r="AJ14"/>
  <c r="AI14"/>
  <c r="AH14"/>
  <c r="AG14"/>
  <c r="AF14"/>
  <c r="AD14"/>
  <c r="AC14"/>
  <c r="BW13"/>
  <c r="BV13"/>
  <c r="BS13"/>
  <c r="BG13"/>
  <c r="BE13"/>
  <c r="AR13"/>
  <c r="AQ13"/>
  <c r="BF13"/>
  <c r="AP13"/>
  <c r="AM13"/>
  <c r="AJ13"/>
  <c r="AI13"/>
  <c r="AH13"/>
  <c r="AG13"/>
  <c r="AF13"/>
  <c r="AD13"/>
  <c r="AC13"/>
  <c r="BW12"/>
  <c r="BV12"/>
  <c r="BS12"/>
  <c r="BG12"/>
  <c r="BE12"/>
  <c r="AR12"/>
  <c r="AQ12"/>
  <c r="BF12"/>
  <c r="AP12"/>
  <c r="AM12"/>
  <c r="AJ12"/>
  <c r="AI12"/>
  <c r="AH12"/>
  <c r="AG12"/>
  <c r="AF12"/>
  <c r="AD12"/>
  <c r="AC12"/>
  <c r="BW11"/>
  <c r="BV11"/>
  <c r="BS11"/>
  <c r="BG11"/>
  <c r="BE11"/>
  <c r="AR11"/>
  <c r="AQ11"/>
  <c r="BF11"/>
  <c r="AP11"/>
  <c r="AM11"/>
  <c r="AJ11"/>
  <c r="AI11"/>
  <c r="AH11"/>
  <c r="AG11"/>
  <c r="AF11"/>
  <c r="AD11"/>
  <c r="AC11"/>
  <c r="BW10"/>
  <c r="BV10"/>
  <c r="BS10"/>
  <c r="BG10"/>
  <c r="BE10"/>
  <c r="AR10"/>
  <c r="AQ10"/>
  <c r="BF10"/>
  <c r="AP10"/>
  <c r="AM10"/>
  <c r="AJ10"/>
  <c r="AI10"/>
  <c r="AH10"/>
  <c r="AG10"/>
  <c r="AF10"/>
  <c r="AD10"/>
  <c r="AC10"/>
  <c r="BW9"/>
  <c r="BV9"/>
  <c r="BS9"/>
  <c r="BG9"/>
  <c r="BE9"/>
  <c r="AR9"/>
  <c r="AQ9"/>
  <c r="BF9"/>
  <c r="AP9"/>
  <c r="AM9"/>
  <c r="AJ9"/>
  <c r="AI9"/>
  <c r="AH9"/>
  <c r="AG9"/>
  <c r="AF9"/>
  <c r="AD9"/>
  <c r="AC9"/>
  <c r="BW8"/>
  <c r="BV8"/>
  <c r="BS8"/>
  <c r="BG8"/>
  <c r="BE8"/>
  <c r="AR8"/>
  <c r="AQ8"/>
  <c r="BF8"/>
  <c r="AP8"/>
  <c r="AM8"/>
  <c r="AJ8"/>
  <c r="AI8"/>
  <c r="AH8"/>
  <c r="AG8"/>
  <c r="AF8"/>
  <c r="AD8"/>
  <c r="AC8"/>
  <c r="BW7"/>
  <c r="BV7"/>
  <c r="BS7"/>
  <c r="BG7"/>
  <c r="BE7"/>
  <c r="BF7"/>
  <c r="AP7"/>
  <c r="AM7"/>
  <c r="BW6"/>
  <c r="BV6"/>
  <c r="BS6"/>
  <c r="BG6"/>
  <c r="BE6"/>
  <c r="AP6"/>
  <c r="AM6"/>
  <c r="BW5"/>
  <c r="BV5"/>
  <c r="BS5"/>
  <c r="BG5"/>
  <c r="BE5"/>
  <c r="BF5"/>
  <c r="AP5"/>
  <c r="AM5"/>
  <c r="CK37" i="1"/>
  <c r="E41"/>
  <c r="AQ40" i="4"/>
  <c r="BF40"/>
  <c r="AF48" i="3"/>
  <c r="AD48"/>
  <c r="AM48"/>
  <c r="AJ48"/>
  <c r="AI48"/>
  <c r="AD47"/>
  <c r="AM47"/>
  <c r="AI46"/>
  <c r="AD46"/>
  <c r="AM40"/>
  <c r="AQ46"/>
  <c r="AP46"/>
  <c r="AD40"/>
  <c r="AG40"/>
  <c r="BG40"/>
  <c r="AP40"/>
  <c r="AI40"/>
  <c r="AC45"/>
  <c r="BW40"/>
  <c r="AJ40"/>
  <c r="AF40"/>
  <c r="AP44"/>
  <c r="AP47"/>
  <c r="AP45"/>
  <c r="AM46"/>
  <c r="AF47"/>
  <c r="AJ47"/>
  <c r="AI47"/>
  <c r="AQ47"/>
  <c r="AH45"/>
  <c r="AD44"/>
  <c r="AP48"/>
  <c r="AG45"/>
  <c r="AC46"/>
  <c r="AH44"/>
  <c r="AF45"/>
  <c r="AJ45"/>
  <c r="AG46"/>
  <c r="AC47"/>
  <c r="AH47"/>
  <c r="BF26"/>
  <c r="BE43"/>
  <c r="AC48"/>
  <c r="AH48"/>
  <c r="BE40"/>
  <c r="AM44"/>
  <c r="AH46"/>
  <c r="AD45"/>
  <c r="AI45"/>
  <c r="AF46"/>
  <c r="AJ46"/>
  <c r="AG47"/>
  <c r="AG48"/>
  <c r="AC40"/>
  <c r="AM45"/>
  <c r="BF19"/>
  <c r="AH40"/>
  <c r="AG44"/>
  <c r="AQ48"/>
  <c r="AF44"/>
  <c r="AJ44"/>
  <c r="AI44"/>
  <c r="AQ44"/>
  <c r="AQ45"/>
  <c r="AO49" i="1"/>
  <c r="AN49"/>
  <c r="AL49"/>
  <c r="AK49"/>
  <c r="AE49"/>
  <c r="AB49"/>
  <c r="AA49"/>
  <c r="Z49"/>
  <c r="Y49"/>
  <c r="X49"/>
  <c r="W49"/>
  <c r="V49"/>
  <c r="U49"/>
  <c r="T49"/>
  <c r="S49"/>
  <c r="R49"/>
  <c r="Q49"/>
  <c r="P49"/>
  <c r="O49"/>
  <c r="N49"/>
  <c r="M49"/>
  <c r="L49"/>
  <c r="K49"/>
  <c r="J49"/>
  <c r="I49"/>
  <c r="H49"/>
  <c r="G49"/>
  <c r="F49"/>
  <c r="D49"/>
  <c r="C49"/>
  <c r="AO48"/>
  <c r="AN48"/>
  <c r="AL48"/>
  <c r="AK48"/>
  <c r="AE48"/>
  <c r="AB48"/>
  <c r="AA48"/>
  <c r="Z48"/>
  <c r="Y48"/>
  <c r="X48"/>
  <c r="W48"/>
  <c r="V48"/>
  <c r="U48"/>
  <c r="T48"/>
  <c r="S48"/>
  <c r="R48"/>
  <c r="Q48"/>
  <c r="P48"/>
  <c r="O48"/>
  <c r="N48"/>
  <c r="M48"/>
  <c r="L48"/>
  <c r="K48"/>
  <c r="J48"/>
  <c r="I48"/>
  <c r="H48"/>
  <c r="G48"/>
  <c r="F48"/>
  <c r="D48"/>
  <c r="C48"/>
  <c r="AX47"/>
  <c r="AO47"/>
  <c r="AN47"/>
  <c r="AL47"/>
  <c r="AK47"/>
  <c r="AE47"/>
  <c r="AB47"/>
  <c r="AA47"/>
  <c r="Z47"/>
  <c r="Y47"/>
  <c r="X47"/>
  <c r="W47"/>
  <c r="V47"/>
  <c r="U47"/>
  <c r="T47"/>
  <c r="S47"/>
  <c r="R47"/>
  <c r="Q47"/>
  <c r="P47"/>
  <c r="O47"/>
  <c r="N47"/>
  <c r="M47"/>
  <c r="L47"/>
  <c r="K47"/>
  <c r="J47"/>
  <c r="I47"/>
  <c r="H47"/>
  <c r="G47"/>
  <c r="F47"/>
  <c r="D47"/>
  <c r="C47"/>
  <c r="AX46"/>
  <c r="AO46"/>
  <c r="AN46"/>
  <c r="AL46"/>
  <c r="AK46"/>
  <c r="AE46"/>
  <c r="AB46"/>
  <c r="AA46"/>
  <c r="Z46"/>
  <c r="Y46"/>
  <c r="X46"/>
  <c r="W46"/>
  <c r="V46"/>
  <c r="U46"/>
  <c r="T46"/>
  <c r="S46"/>
  <c r="R46"/>
  <c r="Q46"/>
  <c r="P46"/>
  <c r="O46"/>
  <c r="N46"/>
  <c r="M46"/>
  <c r="L46"/>
  <c r="K46"/>
  <c r="J46"/>
  <c r="I46"/>
  <c r="H46"/>
  <c r="G46"/>
  <c r="F46"/>
  <c r="D46"/>
  <c r="C46"/>
  <c r="AO45"/>
  <c r="AN45"/>
  <c r="AL45"/>
  <c r="AK45"/>
  <c r="AE45"/>
  <c r="AC45"/>
  <c r="AB45"/>
  <c r="AA45"/>
  <c r="Z45"/>
  <c r="Y45"/>
  <c r="X45"/>
  <c r="W45"/>
  <c r="V45"/>
  <c r="U45"/>
  <c r="T45"/>
  <c r="S45"/>
  <c r="R45"/>
  <c r="Q45"/>
  <c r="P45"/>
  <c r="O45"/>
  <c r="N45"/>
  <c r="M45"/>
  <c r="L45"/>
  <c r="K45"/>
  <c r="J45"/>
  <c r="I45"/>
  <c r="H45"/>
  <c r="G45"/>
  <c r="F45"/>
  <c r="D45"/>
  <c r="C45"/>
  <c r="BF42"/>
  <c r="CB41"/>
  <c r="CA41"/>
  <c r="BY41"/>
  <c r="BX41"/>
  <c r="BU41"/>
  <c r="BT41"/>
  <c r="BR41"/>
  <c r="BQ41"/>
  <c r="BP41"/>
  <c r="BO41"/>
  <c r="BN41"/>
  <c r="BM41"/>
  <c r="BL41"/>
  <c r="BK41"/>
  <c r="BJ41"/>
  <c r="BI41"/>
  <c r="BH41"/>
  <c r="BD41"/>
  <c r="BC41"/>
  <c r="BB41"/>
  <c r="AZ41"/>
  <c r="AY41"/>
  <c r="AX41"/>
  <c r="AW41"/>
  <c r="AV41"/>
  <c r="AU41"/>
  <c r="AT41"/>
  <c r="AO41"/>
  <c r="AN41"/>
  <c r="AL41"/>
  <c r="AK41"/>
  <c r="AE41"/>
  <c r="AB41"/>
  <c r="AA41"/>
  <c r="Z41"/>
  <c r="Y41"/>
  <c r="X41"/>
  <c r="W41"/>
  <c r="V41"/>
  <c r="AH41"/>
  <c r="Q41"/>
  <c r="P41"/>
  <c r="O41"/>
  <c r="N41"/>
  <c r="M41"/>
  <c r="L41"/>
  <c r="K41"/>
  <c r="J41"/>
  <c r="I41"/>
  <c r="H41"/>
  <c r="F41"/>
  <c r="BW40"/>
  <c r="BV40"/>
  <c r="BS40"/>
  <c r="BG40"/>
  <c r="BF40"/>
  <c r="BE40"/>
  <c r="AQ40"/>
  <c r="AP40"/>
  <c r="AM40"/>
  <c r="AJ40"/>
  <c r="AI40"/>
  <c r="AH40"/>
  <c r="AG40"/>
  <c r="AF40"/>
  <c r="AD40"/>
  <c r="AC40"/>
  <c r="BW39"/>
  <c r="BV39"/>
  <c r="BS39"/>
  <c r="BG39"/>
  <c r="BE39"/>
  <c r="AQ39"/>
  <c r="BF39"/>
  <c r="AP39"/>
  <c r="AM39"/>
  <c r="AJ39"/>
  <c r="AI39"/>
  <c r="AH39"/>
  <c r="AG39"/>
  <c r="AF39"/>
  <c r="AD39"/>
  <c r="AC39"/>
  <c r="BW38"/>
  <c r="BV38"/>
  <c r="BS38"/>
  <c r="BG38"/>
  <c r="BE38"/>
  <c r="AQ38"/>
  <c r="BF38"/>
  <c r="AP38"/>
  <c r="AM38"/>
  <c r="AJ38"/>
  <c r="AI38"/>
  <c r="AH38"/>
  <c r="AG38"/>
  <c r="AF38"/>
  <c r="AD38"/>
  <c r="AC38"/>
  <c r="BW37"/>
  <c r="BV37"/>
  <c r="BS37"/>
  <c r="BG37"/>
  <c r="BE37"/>
  <c r="AQ37"/>
  <c r="BF37"/>
  <c r="AP37"/>
  <c r="AM37"/>
  <c r="AJ37"/>
  <c r="AI37"/>
  <c r="AH37"/>
  <c r="AG37"/>
  <c r="AF37"/>
  <c r="AD37"/>
  <c r="AC37"/>
  <c r="BW36"/>
  <c r="BV36"/>
  <c r="BS36"/>
  <c r="BG36"/>
  <c r="BE36"/>
  <c r="AR36"/>
  <c r="AQ36"/>
  <c r="BF36"/>
  <c r="AP36"/>
  <c r="AM36"/>
  <c r="AJ36"/>
  <c r="AI36"/>
  <c r="AH36"/>
  <c r="AG36"/>
  <c r="AF36"/>
  <c r="AD36"/>
  <c r="AC36"/>
  <c r="BW35"/>
  <c r="BV35"/>
  <c r="BS35"/>
  <c r="BG35"/>
  <c r="BE35"/>
  <c r="AR35"/>
  <c r="AQ35"/>
  <c r="BF35"/>
  <c r="AP35"/>
  <c r="AM35"/>
  <c r="AJ35"/>
  <c r="AI35"/>
  <c r="AH35"/>
  <c r="AG35"/>
  <c r="AF35"/>
  <c r="AD35"/>
  <c r="AC35"/>
  <c r="BW34"/>
  <c r="BV34"/>
  <c r="BS34"/>
  <c r="BG34"/>
  <c r="BE34"/>
  <c r="AR34"/>
  <c r="AQ34"/>
  <c r="BF34"/>
  <c r="AP34"/>
  <c r="AM34"/>
  <c r="AJ34"/>
  <c r="AJ49"/>
  <c r="AI34"/>
  <c r="AH34"/>
  <c r="AG34"/>
  <c r="AF34"/>
  <c r="AD34"/>
  <c r="AD49"/>
  <c r="AC34"/>
  <c r="AC49"/>
  <c r="BW33"/>
  <c r="BV33"/>
  <c r="BS33"/>
  <c r="BG33"/>
  <c r="BE33"/>
  <c r="AR33"/>
  <c r="AQ33"/>
  <c r="BF33"/>
  <c r="AP33"/>
  <c r="AM33"/>
  <c r="AJ33"/>
  <c r="AI33"/>
  <c r="AH33"/>
  <c r="AG33"/>
  <c r="AF33"/>
  <c r="AD33"/>
  <c r="AC33"/>
  <c r="BW32"/>
  <c r="BV32"/>
  <c r="BS32"/>
  <c r="BG32"/>
  <c r="BE32"/>
  <c r="AR32"/>
  <c r="AQ32"/>
  <c r="BF32"/>
  <c r="AP32"/>
  <c r="AM32"/>
  <c r="AJ32"/>
  <c r="AI32"/>
  <c r="AH32"/>
  <c r="AG32"/>
  <c r="AF32"/>
  <c r="AD32"/>
  <c r="AC32"/>
  <c r="BW31"/>
  <c r="BV31"/>
  <c r="BS31"/>
  <c r="BG31"/>
  <c r="BE31"/>
  <c r="AR31"/>
  <c r="AQ31"/>
  <c r="BF31"/>
  <c r="AP31"/>
  <c r="AM31"/>
  <c r="AJ31"/>
  <c r="AI31"/>
  <c r="AH31"/>
  <c r="AG31"/>
  <c r="AF31"/>
  <c r="AD31"/>
  <c r="AC31"/>
  <c r="BW30"/>
  <c r="BV30"/>
  <c r="BS30"/>
  <c r="BG30"/>
  <c r="BE30"/>
  <c r="AR30"/>
  <c r="AQ30"/>
  <c r="BF30"/>
  <c r="AP30"/>
  <c r="AM30"/>
  <c r="AJ30"/>
  <c r="AI30"/>
  <c r="AH30"/>
  <c r="AG30"/>
  <c r="AF30"/>
  <c r="AD30"/>
  <c r="AC30"/>
  <c r="BW29"/>
  <c r="BV29"/>
  <c r="BS29"/>
  <c r="BG29"/>
  <c r="BE29"/>
  <c r="AR29"/>
  <c r="AQ29"/>
  <c r="BF29"/>
  <c r="AP29"/>
  <c r="AM29"/>
  <c r="AJ29"/>
  <c r="AI29"/>
  <c r="AH29"/>
  <c r="AG29"/>
  <c r="AF29"/>
  <c r="AD29"/>
  <c r="AC29"/>
  <c r="BW28"/>
  <c r="BV28"/>
  <c r="BS28"/>
  <c r="BG28"/>
  <c r="BE28"/>
  <c r="BE44"/>
  <c r="AR28"/>
  <c r="AQ28"/>
  <c r="BF28"/>
  <c r="AP28"/>
  <c r="AM28"/>
  <c r="AJ28"/>
  <c r="AI28"/>
  <c r="AI49"/>
  <c r="AH28"/>
  <c r="AG28"/>
  <c r="AF28"/>
  <c r="AD28"/>
  <c r="AC28"/>
  <c r="BW27"/>
  <c r="BV27"/>
  <c r="BS27"/>
  <c r="BG27"/>
  <c r="BE27"/>
  <c r="AR27"/>
  <c r="AQ27"/>
  <c r="BF27"/>
  <c r="AP27"/>
  <c r="AM27"/>
  <c r="AJ27"/>
  <c r="AI27"/>
  <c r="AH27"/>
  <c r="AG27"/>
  <c r="AF27"/>
  <c r="AD27"/>
  <c r="AC27"/>
  <c r="BW26"/>
  <c r="BV26"/>
  <c r="BS26"/>
  <c r="BG26"/>
  <c r="BE26"/>
  <c r="AR26"/>
  <c r="AQ26"/>
  <c r="BF26"/>
  <c r="AP26"/>
  <c r="AM26"/>
  <c r="AJ26"/>
  <c r="AI26"/>
  <c r="AH26"/>
  <c r="AG26"/>
  <c r="AF26"/>
  <c r="AD26"/>
  <c r="AC26"/>
  <c r="BW25"/>
  <c r="BV25"/>
  <c r="BS25"/>
  <c r="BG25"/>
  <c r="BE25"/>
  <c r="AR25"/>
  <c r="AQ25"/>
  <c r="BF25"/>
  <c r="AP25"/>
  <c r="AM25"/>
  <c r="AJ25"/>
  <c r="AI25"/>
  <c r="AH25"/>
  <c r="AG25"/>
  <c r="AF25"/>
  <c r="AD25"/>
  <c r="AC25"/>
  <c r="BW24"/>
  <c r="BV24"/>
  <c r="BS24"/>
  <c r="BG24"/>
  <c r="BE24"/>
  <c r="AR24"/>
  <c r="AQ24"/>
  <c r="BF24"/>
  <c r="AP24"/>
  <c r="AM24"/>
  <c r="AJ24"/>
  <c r="AI24"/>
  <c r="AH24"/>
  <c r="AG24"/>
  <c r="AF24"/>
  <c r="AD24"/>
  <c r="AC24"/>
  <c r="BW23"/>
  <c r="BV23"/>
  <c r="BS23"/>
  <c r="BG23"/>
  <c r="BE23"/>
  <c r="AR23"/>
  <c r="AQ23"/>
  <c r="BF23"/>
  <c r="AP23"/>
  <c r="AM23"/>
  <c r="AJ23"/>
  <c r="AI23"/>
  <c r="AH23"/>
  <c r="AG23"/>
  <c r="AF23"/>
  <c r="AD23"/>
  <c r="AC23"/>
  <c r="BW22"/>
  <c r="BV22"/>
  <c r="BS22"/>
  <c r="BG22"/>
  <c r="BE22"/>
  <c r="AR22"/>
  <c r="AQ22"/>
  <c r="BF22"/>
  <c r="AP22"/>
  <c r="AM22"/>
  <c r="AJ22"/>
  <c r="AI22"/>
  <c r="AH22"/>
  <c r="AG22"/>
  <c r="AF22"/>
  <c r="AD22"/>
  <c r="AC22"/>
  <c r="BW21"/>
  <c r="BV21"/>
  <c r="BS21"/>
  <c r="BG21"/>
  <c r="BE21"/>
  <c r="AR21"/>
  <c r="AQ21"/>
  <c r="BF21"/>
  <c r="AP21"/>
  <c r="AM21"/>
  <c r="AJ21"/>
  <c r="AI21"/>
  <c r="AH21"/>
  <c r="AG21"/>
  <c r="AF21"/>
  <c r="AD21"/>
  <c r="AC21"/>
  <c r="BW20"/>
  <c r="BV20"/>
  <c r="BS20"/>
  <c r="BG20"/>
  <c r="BE20"/>
  <c r="AR20"/>
  <c r="AQ20"/>
  <c r="AP20"/>
  <c r="AM20"/>
  <c r="AJ20"/>
  <c r="AI20"/>
  <c r="AH20"/>
  <c r="AG20"/>
  <c r="AG47"/>
  <c r="AF20"/>
  <c r="AD20"/>
  <c r="AC20"/>
  <c r="BW19"/>
  <c r="BV19"/>
  <c r="BS19"/>
  <c r="BG19"/>
  <c r="BE19"/>
  <c r="AR19"/>
  <c r="AQ19"/>
  <c r="BF19"/>
  <c r="AP19"/>
  <c r="AM19"/>
  <c r="AJ19"/>
  <c r="AI19"/>
  <c r="AH19"/>
  <c r="AG19"/>
  <c r="AF19"/>
  <c r="AD19"/>
  <c r="AC19"/>
  <c r="BW18"/>
  <c r="BV18"/>
  <c r="BS18"/>
  <c r="BG18"/>
  <c r="BE18"/>
  <c r="AR18"/>
  <c r="AQ18"/>
  <c r="BF18"/>
  <c r="AP18"/>
  <c r="AM18"/>
  <c r="AJ18"/>
  <c r="AI18"/>
  <c r="AH18"/>
  <c r="AG18"/>
  <c r="AF18"/>
  <c r="AD18"/>
  <c r="AC18"/>
  <c r="BW17"/>
  <c r="BV17"/>
  <c r="BS17"/>
  <c r="BG17"/>
  <c r="BE17"/>
  <c r="AR17"/>
  <c r="AQ17"/>
  <c r="BF17"/>
  <c r="AP17"/>
  <c r="AM17"/>
  <c r="AJ17"/>
  <c r="AI17"/>
  <c r="AH17"/>
  <c r="AG17"/>
  <c r="AF17"/>
  <c r="AD17"/>
  <c r="AC17"/>
  <c r="BW16"/>
  <c r="BV16"/>
  <c r="BS16"/>
  <c r="BG16"/>
  <c r="BE16"/>
  <c r="AR16"/>
  <c r="AQ16"/>
  <c r="BF16"/>
  <c r="AP16"/>
  <c r="AM16"/>
  <c r="AJ16"/>
  <c r="AI16"/>
  <c r="AH16"/>
  <c r="AG16"/>
  <c r="AF16"/>
  <c r="AD16"/>
  <c r="AC16"/>
  <c r="BW15"/>
  <c r="BV15"/>
  <c r="BS15"/>
  <c r="BG15"/>
  <c r="BE15"/>
  <c r="AR15"/>
  <c r="AQ15"/>
  <c r="BF15"/>
  <c r="AP15"/>
  <c r="AM15"/>
  <c r="AJ15"/>
  <c r="AI15"/>
  <c r="AH15"/>
  <c r="AG15"/>
  <c r="AF15"/>
  <c r="AD15"/>
  <c r="AC15"/>
  <c r="BW14"/>
  <c r="BV14"/>
  <c r="BS14"/>
  <c r="BG14"/>
  <c r="BE14"/>
  <c r="AR14"/>
  <c r="AQ14"/>
  <c r="BF14"/>
  <c r="AP14"/>
  <c r="AM14"/>
  <c r="AJ14"/>
  <c r="AI14"/>
  <c r="AH14"/>
  <c r="AG14"/>
  <c r="AF14"/>
  <c r="AD14"/>
  <c r="AC14"/>
  <c r="BW13"/>
  <c r="BV13"/>
  <c r="BS13"/>
  <c r="BG13"/>
  <c r="BE13"/>
  <c r="AR13"/>
  <c r="AQ13"/>
  <c r="BF13"/>
  <c r="AP13"/>
  <c r="AM13"/>
  <c r="AJ13"/>
  <c r="AI13"/>
  <c r="AH13"/>
  <c r="AH46"/>
  <c r="AG13"/>
  <c r="AF13"/>
  <c r="AD13"/>
  <c r="AC13"/>
  <c r="AC46"/>
  <c r="BW12"/>
  <c r="BV12"/>
  <c r="BS12"/>
  <c r="BG12"/>
  <c r="BE12"/>
  <c r="AR12"/>
  <c r="AQ12"/>
  <c r="BF12"/>
  <c r="AP12"/>
  <c r="AM12"/>
  <c r="AJ12"/>
  <c r="AI12"/>
  <c r="AH12"/>
  <c r="AG12"/>
  <c r="AF12"/>
  <c r="AD12"/>
  <c r="AC12"/>
  <c r="BW11"/>
  <c r="BV11"/>
  <c r="BS11"/>
  <c r="BG11"/>
  <c r="BE11"/>
  <c r="AR11"/>
  <c r="AQ11"/>
  <c r="BF11"/>
  <c r="AP11"/>
  <c r="AM11"/>
  <c r="AJ11"/>
  <c r="AI11"/>
  <c r="AH11"/>
  <c r="AG11"/>
  <c r="AF11"/>
  <c r="AD11"/>
  <c r="AC11"/>
  <c r="BW10"/>
  <c r="BV10"/>
  <c r="BS10"/>
  <c r="BG10"/>
  <c r="BE10"/>
  <c r="AR10"/>
  <c r="AQ10"/>
  <c r="BF10"/>
  <c r="AP10"/>
  <c r="AM10"/>
  <c r="AJ10"/>
  <c r="AI10"/>
  <c r="AH10"/>
  <c r="AG10"/>
  <c r="AF10"/>
  <c r="AD10"/>
  <c r="AC10"/>
  <c r="BW9"/>
  <c r="BV9"/>
  <c r="BS9"/>
  <c r="BG9"/>
  <c r="BE9"/>
  <c r="AR9"/>
  <c r="AQ9"/>
  <c r="BF9"/>
  <c r="AP9"/>
  <c r="AM9"/>
  <c r="AJ9"/>
  <c r="AI9"/>
  <c r="AH9"/>
  <c r="AG9"/>
  <c r="AF9"/>
  <c r="AD9"/>
  <c r="AC9"/>
  <c r="BW8"/>
  <c r="BV8"/>
  <c r="BS8"/>
  <c r="BG8"/>
  <c r="BE8"/>
  <c r="AR8"/>
  <c r="AQ8"/>
  <c r="BF8"/>
  <c r="AP8"/>
  <c r="AM8"/>
  <c r="AJ8"/>
  <c r="AI8"/>
  <c r="AH8"/>
  <c r="AG8"/>
  <c r="AF8"/>
  <c r="AD8"/>
  <c r="AC8"/>
  <c r="BW7"/>
  <c r="BV7"/>
  <c r="BS7"/>
  <c r="BG7"/>
  <c r="BE7"/>
  <c r="AR7"/>
  <c r="AQ7"/>
  <c r="BF7"/>
  <c r="AP7"/>
  <c r="AM7"/>
  <c r="AJ7"/>
  <c r="AI7"/>
  <c r="AH7"/>
  <c r="AG7"/>
  <c r="AF7"/>
  <c r="AD7"/>
  <c r="AC7"/>
  <c r="BW6"/>
  <c r="BV6"/>
  <c r="BS6"/>
  <c r="BG6"/>
  <c r="BE6"/>
  <c r="AR6"/>
  <c r="AQ6"/>
  <c r="BF6"/>
  <c r="AP6"/>
  <c r="AM6"/>
  <c r="AJ6"/>
  <c r="AI6"/>
  <c r="AH6"/>
  <c r="AG6"/>
  <c r="AF6"/>
  <c r="AD6"/>
  <c r="AD45"/>
  <c r="AC6"/>
  <c r="AQ40" i="3"/>
  <c r="BF40"/>
  <c r="AH49" i="1"/>
  <c r="AG49"/>
  <c r="AP49"/>
  <c r="AM49"/>
  <c r="AQ49"/>
  <c r="AI48"/>
  <c r="AD48"/>
  <c r="AF48"/>
  <c r="AC48"/>
  <c r="AH48"/>
  <c r="AP48"/>
  <c r="AQ48"/>
  <c r="AD47"/>
  <c r="AJ47"/>
  <c r="AQ47"/>
  <c r="AI47"/>
  <c r="AC47"/>
  <c r="BG41"/>
  <c r="AP47"/>
  <c r="AM47"/>
  <c r="AP46"/>
  <c r="AI41"/>
  <c r="AG46"/>
  <c r="AF46"/>
  <c r="AJ46"/>
  <c r="AQ46"/>
  <c r="AC41"/>
  <c r="AM46"/>
  <c r="BE41"/>
  <c r="AG41"/>
  <c r="AF41"/>
  <c r="AG45"/>
  <c r="AP45"/>
  <c r="AJ45"/>
  <c r="AM45"/>
  <c r="AI45"/>
  <c r="AD41"/>
  <c r="AP41"/>
  <c r="AM48"/>
  <c r="AQ45"/>
  <c r="AM41"/>
  <c r="AF45"/>
  <c r="AF49"/>
  <c r="AH45"/>
  <c r="BF20"/>
  <c r="AJ48"/>
  <c r="AI46"/>
  <c r="AD46"/>
  <c r="AH47"/>
  <c r="AJ41"/>
  <c r="AF47"/>
  <c r="AG48"/>
  <c r="AQ41"/>
  <c r="BF41"/>
  <c r="AM46" i="14" l="1"/>
  <c r="AP46"/>
  <c r="AG50"/>
  <c r="AP50"/>
  <c r="AQ50"/>
  <c r="AF50"/>
  <c r="AJ50"/>
  <c r="AH50"/>
  <c r="AM50"/>
  <c r="AP49"/>
  <c r="AF49"/>
  <c r="AQ49"/>
  <c r="AH49"/>
  <c r="AM49"/>
  <c r="AJ49"/>
  <c r="AI50"/>
  <c r="AI49"/>
  <c r="AQ48"/>
  <c r="AP48"/>
  <c r="AF48"/>
  <c r="AM48"/>
  <c r="AH48"/>
  <c r="AJ48"/>
  <c r="BS42"/>
  <c r="BG42"/>
  <c r="AM47"/>
  <c r="AG47"/>
  <c r="AP42"/>
  <c r="AQ46"/>
  <c r="BF12"/>
  <c r="AP47"/>
  <c r="BW42"/>
  <c r="AM42"/>
  <c r="AQ47"/>
  <c r="BV42"/>
  <c r="AJ47"/>
  <c r="AJ42"/>
  <c r="AH47"/>
  <c r="AF47"/>
  <c r="AF42"/>
  <c r="AG42"/>
  <c r="AC42"/>
  <c r="BE42"/>
  <c r="AJ46"/>
  <c r="AQ42" l="1"/>
  <c r="BF42" s="1"/>
</calcChain>
</file>

<file path=xl/comments1.xml><?xml version="1.0" encoding="utf-8"?>
<comments xmlns="http://schemas.openxmlformats.org/spreadsheetml/2006/main">
  <authors>
    <author>ops.e</author>
  </authors>
  <commentList>
    <comment ref="AC10" authorId="0">
      <text>
        <r>
          <rPr>
            <b/>
            <sz val="9"/>
            <color indexed="81"/>
            <rFont val="Tahoma"/>
            <family val="2"/>
          </rPr>
          <t>ops.e:</t>
        </r>
        <r>
          <rPr>
            <sz val="9"/>
            <color indexed="81"/>
            <rFont val="Tahoma"/>
            <family val="2"/>
          </rPr>
          <t xml:space="preserve">
EDG in operation</t>
        </r>
      </text>
    </comment>
    <comment ref="AC11" authorId="0">
      <text>
        <r>
          <rPr>
            <b/>
            <sz val="9"/>
            <color indexed="81"/>
            <rFont val="Tahoma"/>
            <family val="2"/>
          </rPr>
          <t>ops.e:</t>
        </r>
        <r>
          <rPr>
            <sz val="9"/>
            <color indexed="81"/>
            <rFont val="Tahoma"/>
            <family val="2"/>
          </rPr>
          <t xml:space="preserve">
EDG in opeartion</t>
        </r>
      </text>
    </comment>
    <comment ref="AC12" authorId="0">
      <text>
        <r>
          <rPr>
            <b/>
            <sz val="9"/>
            <color indexed="81"/>
            <rFont val="Tahoma"/>
            <family val="2"/>
          </rPr>
          <t>ops.e:</t>
        </r>
        <r>
          <rPr>
            <sz val="9"/>
            <color indexed="81"/>
            <rFont val="Tahoma"/>
            <family val="2"/>
          </rPr>
          <t xml:space="preserve">
EDG in operation</t>
        </r>
      </text>
    </comment>
  </commentList>
</comments>
</file>

<file path=xl/comments2.xml><?xml version="1.0" encoding="utf-8"?>
<comments xmlns="http://schemas.openxmlformats.org/spreadsheetml/2006/main">
  <authors>
    <author>ops.e</author>
  </authors>
  <commentList>
    <comment ref="AN13" authorId="0">
      <text>
        <r>
          <rPr>
            <b/>
            <sz val="9"/>
            <color indexed="81"/>
            <rFont val="Tahoma"/>
            <family val="2"/>
          </rPr>
          <t>ops.e:</t>
        </r>
        <r>
          <rPr>
            <sz val="9"/>
            <color indexed="81"/>
            <rFont val="Tahoma"/>
            <family val="2"/>
          </rPr>
          <t xml:space="preserve">
CT-1 started for test run on Siemens demand after completion of major inspection activities.</t>
        </r>
      </text>
    </comment>
  </commentList>
</comments>
</file>

<file path=xl/sharedStrings.xml><?xml version="1.0" encoding="utf-8"?>
<sst xmlns="http://schemas.openxmlformats.org/spreadsheetml/2006/main" count="2662" uniqueCount="335">
  <si>
    <t>Monthly Operational Returns Kabirwala</t>
  </si>
  <si>
    <t xml:space="preserve">Date </t>
  </si>
  <si>
    <t>Site Avg. Ambient Temp.F</t>
  </si>
  <si>
    <t>Site Avg. Relative Humidty %</t>
  </si>
  <si>
    <t>Site Ambient Temp</t>
  </si>
  <si>
    <t>Base load hours</t>
  </si>
  <si>
    <t>Standby hours</t>
  </si>
  <si>
    <t>Plant ambient corrected Max Load</t>
  </si>
  <si>
    <t xml:space="preserve"> Corrected Plant Capacity</t>
  </si>
  <si>
    <t>Ambient Corrected Daclared Avail'y (MWH)</t>
  </si>
  <si>
    <t>Plant WAPDA Dispatch (MWH)</t>
  </si>
  <si>
    <t>Net Plant Export (MWH)</t>
  </si>
  <si>
    <t>Gross Generation</t>
  </si>
  <si>
    <t>CT1 Average Cap (MW)</t>
  </si>
  <si>
    <t>CT1 Unavail minutes</t>
  </si>
  <si>
    <t>CT2 Average Cap (MW)</t>
  </si>
  <si>
    <t>CT2 Unavail minutes</t>
  </si>
  <si>
    <t>ST Average Cap (MW)</t>
  </si>
  <si>
    <t>ST Unavail minutes</t>
  </si>
  <si>
    <t>Plant Aux Load including Colony Load MWH</t>
  </si>
  <si>
    <r>
      <t>Differenece</t>
    </r>
    <r>
      <rPr>
        <sz val="10"/>
        <rFont val="Arial"/>
        <family val="2"/>
      </rPr>
      <t xml:space="preserve"> (+/-) MW</t>
    </r>
  </si>
  <si>
    <t>Maximum Daily Generation</t>
  </si>
  <si>
    <t>Daily Load Factor</t>
  </si>
  <si>
    <t>Avg. Corrected Plant Capacity</t>
  </si>
  <si>
    <t>Plant Capacity Factor</t>
  </si>
  <si>
    <t>Plant Availability  Factor</t>
  </si>
  <si>
    <t>Equivalent Plant Availability</t>
  </si>
  <si>
    <t>LBtu gas flow (mmscf/day)</t>
  </si>
  <si>
    <r>
      <t>1</t>
    </r>
    <r>
      <rPr>
        <sz val="9"/>
        <rFont val="Arial"/>
        <family val="2"/>
      </rPr>
      <t xml:space="preserve"> LBtu gas (Average Btu/scf) </t>
    </r>
  </si>
  <si>
    <t>LBTU MMBTU</t>
  </si>
  <si>
    <r>
      <t>1</t>
    </r>
    <r>
      <rPr>
        <sz val="9"/>
        <rFont val="Arial"/>
        <family val="2"/>
      </rPr>
      <t xml:space="preserve"> HBtu gas flow (mmscf/day)</t>
    </r>
  </si>
  <si>
    <r>
      <t>1</t>
    </r>
    <r>
      <rPr>
        <sz val="9"/>
        <rFont val="Arial"/>
        <family val="2"/>
      </rPr>
      <t xml:space="preserve"> HBtu gas (Average Btu/scf) </t>
    </r>
  </si>
  <si>
    <t>HBTU MMBTU</t>
  </si>
  <si>
    <t>HHV Net Heat Rate (Btu/Kwh)</t>
  </si>
  <si>
    <t>Avg. declared availability</t>
  </si>
  <si>
    <t>CT1    Derated  MW</t>
  </si>
  <si>
    <t>CT1 derated mintutes</t>
  </si>
  <si>
    <t>CT-2 derated MW</t>
  </si>
  <si>
    <t>CT-2 derated mintutes</t>
  </si>
  <si>
    <t>ST derated MW</t>
  </si>
  <si>
    <t>ST derated mintutes</t>
  </si>
  <si>
    <t>WAPDA Backfeed (MWH)</t>
  </si>
  <si>
    <t xml:space="preserve"> CT-1 Gross Generation (MWH)</t>
  </si>
  <si>
    <t xml:space="preserve"> CT-2 Gross Generation (MWH)</t>
  </si>
  <si>
    <t xml:space="preserve"> STG Gross Generation (MWH)</t>
  </si>
  <si>
    <t xml:space="preserve"> CT-1 &amp; CT-2 MWH difference </t>
  </si>
  <si>
    <t xml:space="preserve"> Base load  Heat Rate</t>
  </si>
  <si>
    <t>STG load</t>
  </si>
  <si>
    <t>DB1</t>
  </si>
  <si>
    <t>DB2</t>
  </si>
  <si>
    <t xml:space="preserve">CT1 </t>
  </si>
  <si>
    <t>CT1 Gas flow</t>
  </si>
  <si>
    <t>CT2 Gas flow</t>
  </si>
  <si>
    <t>Pamb</t>
  </si>
  <si>
    <t>Freq. Hz</t>
  </si>
  <si>
    <t>LBTU Gas Specific gravity</t>
  </si>
  <si>
    <t>CT-1 compressor efficiency(%)</t>
  </si>
  <si>
    <t>CT-2 compressor efficiency(%)</t>
  </si>
  <si>
    <t>CT-1                 Heat Rate (Btu/Kwh)</t>
  </si>
  <si>
    <t>CT-2                Heat Rate (Btu/Kwh)</t>
  </si>
  <si>
    <t>DB(1+2)</t>
  </si>
  <si>
    <t>DB-1 Ops Hours</t>
  </si>
  <si>
    <t>DB-2 Ops Hours</t>
  </si>
  <si>
    <t>CT-1 Wetcomprssion Ops Hours</t>
  </si>
  <si>
    <t>RO  Operation Hours</t>
  </si>
  <si>
    <t>CT1</t>
  </si>
  <si>
    <t>CT2</t>
  </si>
  <si>
    <t>mmscf/d</t>
  </si>
  <si>
    <t>WetC flow</t>
  </si>
  <si>
    <t xml:space="preserve">HBTU KPPH </t>
  </si>
  <si>
    <t>LBTU KPPH</t>
  </si>
  <si>
    <t>mbar</t>
  </si>
  <si>
    <t>Hz</t>
  </si>
  <si>
    <t>Max</t>
  </si>
  <si>
    <t>Min</t>
  </si>
  <si>
    <t>hrs</t>
  </si>
  <si>
    <t>min</t>
  </si>
  <si>
    <t>gpm</t>
  </si>
  <si>
    <t>Week 1</t>
  </si>
  <si>
    <t>Week 2</t>
  </si>
  <si>
    <t>Week 3</t>
  </si>
  <si>
    <t>Week 4</t>
  </si>
  <si>
    <t>Week 5</t>
  </si>
  <si>
    <t>Monthly</t>
  </si>
  <si>
    <t>Totals</t>
  </si>
  <si>
    <t>Avg.F</t>
  </si>
  <si>
    <t>% Avg.</t>
  </si>
  <si>
    <t>M Avg</t>
  </si>
  <si>
    <t>m Avg</t>
  </si>
  <si>
    <t>Avg Int Avi</t>
  </si>
  <si>
    <t>Avg Ext Avi</t>
  </si>
  <si>
    <t>MWhr Total</t>
  </si>
  <si>
    <t>MW Avg</t>
  </si>
  <si>
    <t>Total min</t>
  </si>
  <si>
    <t>Avg MW</t>
  </si>
  <si>
    <t xml:space="preserve"> MWhr</t>
  </si>
  <si>
    <t>Total MW</t>
  </si>
  <si>
    <t>Av Max D/Gen</t>
  </si>
  <si>
    <t>Av. DailyLF</t>
  </si>
  <si>
    <t>Avg.</t>
  </si>
  <si>
    <t>Total</t>
  </si>
  <si>
    <t>Weeks data</t>
  </si>
  <si>
    <t>Site Avg. Amb. Temp F</t>
  </si>
  <si>
    <t>Site Avg. Relative humidity %</t>
  </si>
  <si>
    <t>Site Maximum/Minumum Temperature</t>
  </si>
  <si>
    <t>CT-1 Base Load Hours</t>
  </si>
  <si>
    <t>CT-2 Base Load Hours</t>
  </si>
  <si>
    <t>CT-1 stand by                   hours / min</t>
  </si>
  <si>
    <t>CT-2 standby             hours / min</t>
  </si>
  <si>
    <t>Plant ambient Corrected maximum Load                         hours/min</t>
  </si>
  <si>
    <t xml:space="preserve"> Average Corrected Plant Capacity</t>
  </si>
  <si>
    <t>Ambient Corrected Declared Avail'y (MWH)</t>
  </si>
  <si>
    <t>Av Plant WAPDA Dispatch</t>
  </si>
  <si>
    <t>CT1 Av Cap (MW)</t>
  </si>
  <si>
    <t>CT2 Av Cap (MW)</t>
  </si>
  <si>
    <t xml:space="preserve">Avg. Corrected Plant </t>
  </si>
  <si>
    <t>Plant Capacity Facto</t>
  </si>
  <si>
    <t>LBtu gas flow mmscf</t>
  </si>
  <si>
    <t>PL gas flow (mscf/week)</t>
  </si>
  <si>
    <r>
      <t>1</t>
    </r>
    <r>
      <rPr>
        <sz val="9"/>
        <rFont val="Arial"/>
        <family val="2"/>
      </rPr>
      <t xml:space="preserve"> PL gas (Average Btu/scf) </t>
    </r>
  </si>
  <si>
    <t>Plant Net Heat Rate (Btu/Kwh)</t>
  </si>
  <si>
    <t>Date</t>
  </si>
  <si>
    <t>Plant Status Whether Normal Operation or Tripping (State full detail for trippings/return to normal).</t>
  </si>
  <si>
    <t>Normal operation.Plant remained at maximum load from 0000 to 2400 hrs.</t>
  </si>
  <si>
    <t>CT1 T/G Brg</t>
  </si>
  <si>
    <t>Seal air pressure</t>
  </si>
  <si>
    <t>Psi</t>
  </si>
  <si>
    <t>"WC</t>
  </si>
  <si>
    <t>CT2 T/G Brg</t>
  </si>
  <si>
    <t>Supply air pressure</t>
  </si>
  <si>
    <t>Site Avg. Ambient Wetbulb Temp.F</t>
  </si>
  <si>
    <t>Normal operation. NPCC load demand of 132 MW received from 0018 hrs to 0502 hrs.</t>
  </si>
  <si>
    <t>Normal operation. NPCC load demand of 132 MW received from 0024 hrs to 0500 hrs.</t>
  </si>
  <si>
    <t>Gas turbine CT-2 de-synch @ 0025hrs and again synch@ 1743hrs after boroscopic inspection and compressor offline washing.</t>
  </si>
  <si>
    <t>Normal operation. NPCC load demand of 133 MW received from 2223 hrs to 2400 hrs.</t>
  </si>
  <si>
    <t>Normal operation. NPCC load demand of 133 MW received from 0000 ~ 0315 hrs and 135 MW from 0334~0501 hrs.</t>
  </si>
  <si>
    <t>Normal operation. NPCC load demand of 132 MW received from 0112 to 0452 hrs.</t>
  </si>
  <si>
    <t>Normal operation. NPCC load demand of 134 MW remained from 0003 to 0145 hrs.</t>
  </si>
  <si>
    <t>CT-2 de-synch @ 0210 hrs &amp; again synch @ 0354 hrs for "Intake Filters Replacement".</t>
  </si>
  <si>
    <t>Plant load remained restricted 132~137MW from 0000~1100hrs to remain within contractual heatrate.</t>
  </si>
  <si>
    <t>Plant load remained restricted 130~149MW from 0000~2400hrs to remain within contractual heatrate.</t>
  </si>
  <si>
    <t>Week 6</t>
  </si>
  <si>
    <t>Week 7</t>
  </si>
  <si>
    <t>Week 8</t>
  </si>
  <si>
    <t>Week 9</t>
  </si>
  <si>
    <t>Plant load remained restricted 127~134 MW from 0000~1100 hrs to remain within contractual heatrate.</t>
  </si>
  <si>
    <t>Gas turbine CT-2 de-synch @ 0029 hrs and again synch@ 1134 hrs after compressor offline washing. Gas turbine CT-1 de-synch @ 1234 hrs for compressor offline washing.</t>
  </si>
  <si>
    <t>CT-1 synch @ 0135 hrs after "compressor offline washing".</t>
  </si>
  <si>
    <t>Complex load remained 136 MW from 0019 hrs to 0343 hrs at NPCC demand.</t>
  </si>
  <si>
    <t>CT-1 de-synch @ 0447 hrs &amp; again synch @ 0647 hrs for "Intake Filters Replacement".</t>
  </si>
  <si>
    <t>Plant load remained 133 MW from 0216 hrs to 0343 hrs at NPCC demand.</t>
  </si>
  <si>
    <t>Normal operation. Plant remained at maximum load from 0000 to 2400 hrs.</t>
  </si>
  <si>
    <t>NPCC load demand of 134 MW received at 0042hrs, 90 MW load demand at 0310hrs, 152 MW ( ambient corrected) load demand at 0642 hrs, 132 MW load demand at 0754hrs and 152 MW (ambient corrected) load demand at 0848 hrs.</t>
  </si>
  <si>
    <t>NPCC load demand of 90 MW received at 0113hrs and 154 MW (ambient corrected) load demand received at 0508 hrs.</t>
  </si>
  <si>
    <t>NPCC load demand of 130 MW received at 2250 hrs.</t>
  </si>
  <si>
    <t>NPCC load demand of 154 MW received at 0522 hrs &amp; load demand of 131 MW received at 2334 hrs.</t>
  </si>
  <si>
    <t>NPCC load demand of 154 MW received at 0523 hrs. Duct burners remained OFF from 0000 to 2300 hrs to remain within contractual heat rate.</t>
  </si>
  <si>
    <t>Plant load remained 136 MW from 0036 hrs to 0542 hrs at NPCC demand.</t>
  </si>
  <si>
    <t>Plant tripped @ 1216 hrs  due to WAPDA supply failure. After restoration of Wapda supply at 1226hrs, CT-1 synch @ 1318 hrs, CT-2 synch @ 1339 hrs and STG synch @ 1350 hrs.</t>
  </si>
  <si>
    <t>Plant load remained restricted 129~135 MW from 0000~2023 hrs to remain within contractual heatrate. NPCC load demand of 134 MW received at 2247 hrs.</t>
  </si>
  <si>
    <t>NPCC load demand of 155 MW received at 0504 hrs.</t>
  </si>
  <si>
    <t>Plant load remained 132 MW from 0108 hrs to 0434 hrs at NPCC demand.</t>
  </si>
  <si>
    <t>Week 10</t>
  </si>
  <si>
    <t>Week 11</t>
  </si>
  <si>
    <t>Week 12</t>
  </si>
  <si>
    <t>Week 13</t>
  </si>
  <si>
    <t xml:space="preserve">Gas turbine CT-2 de-synch @0019hrs and again synch @1102hrs after compressor offline washing. </t>
  </si>
  <si>
    <t>Normal operation. NPCC load demand of 132 MW received from 0359 ~ 0416 hrs.</t>
  </si>
  <si>
    <t>Normal operation. NPCC load demand of 134 MW received from 0102 ~ 0136 hrs.</t>
  </si>
  <si>
    <t>Plant load remained 128 ~ 133 MW from 0000 hrs to 2400 hrs, as both duct burners kept off to remain within contractual heat rate.</t>
  </si>
  <si>
    <t>Plant load remained restricted 129-132  MW from 0000-1100hrs to remain within contractual heatrate.</t>
  </si>
  <si>
    <t xml:space="preserve">Normal operation.NPCC load demand of 133 MW remained from 0409 hrs to 0432 hrs.  </t>
  </si>
  <si>
    <t>Plant load remained restricted 130-133  MW from 0000-1100hrs to remain within contractual heatrate.</t>
  </si>
  <si>
    <t>Plant load remained 128 ~ 134 MW from 0000 hrs to 2400 hrs, as duct firing reduced to minimum to remain within contractual heat rate.</t>
  </si>
  <si>
    <t>CT-1 de-synch @ 0650 hrs &amp; synch @ 1826 hrs for compressor offline washing, availing "Approved Scheduled Outage-2018".</t>
  </si>
  <si>
    <t>Normal operation.Plant remained at maximum load from 0000 to 2300 hrs.Duct burners taken out of service at 2300 hrs to keep within restricted plant heat rate.</t>
  </si>
  <si>
    <t>Plant load remained 128 ~ 132 MW from 0000 hrs to 1100 hrs, as both duct burners kept off to remain within contractual heat rate.</t>
  </si>
  <si>
    <t>Week 14</t>
  </si>
  <si>
    <t>Week 15</t>
  </si>
  <si>
    <t>Week 16</t>
  </si>
  <si>
    <t>Week 17</t>
  </si>
  <si>
    <t>Week 18</t>
  </si>
  <si>
    <t>Plant load remained 125 ~ 130 MW from 0000 hrs to 2400 hrs, as both duct burners kept off to remain within contractual heat rate.</t>
  </si>
  <si>
    <t>Plant load increased from 128 to 140 MW by taking both duct burners into service at 1100 hrs to achieve maximum export.</t>
  </si>
  <si>
    <t>Plant load remained 125 ~ 131 MW from 0000 hrs to 2400 hrs, as both duct burners kept off to remain within contractual heat rate.</t>
  </si>
  <si>
    <t>Plant load increased from 128 to 141 MW by taking both duct burners into service at 1100 hrs to achieve maximum export.</t>
  </si>
  <si>
    <t>Plant load remained 132 MW from 0812 hrs to 0911 hrs &amp; from 1013 hrs to 1042 hrs at "NPCC Demand".</t>
  </si>
  <si>
    <t>Plant load restricted to 128~133 MW from 0000~2400 hrs, as both duct burners kept off to remain within contractual heat rate.</t>
  </si>
  <si>
    <t>Plant load increased from 129 to 141 MW by taking both duct burners into service at 1100 hrs to achieve maximum export.</t>
  </si>
  <si>
    <t>Complex tripped @ 1554 hrs due to "Wapda Supply Failure". After restoration of Wapda supply @ 1603 hrs, CT-2 synch @ 1713 hrs, CT-1 synch @ 1739 hrs &amp; STG synch @ 1802 hrs.</t>
  </si>
  <si>
    <t>Plant load restricted to 122~127 MW from 0000~2400 hrs, as both duct burners kept off to remain within contractual heat rate.</t>
  </si>
  <si>
    <t>Plant load increased from 123 to 135 MW by taking both duct burners into service at 1300 hrs to achieve maximum export.</t>
  </si>
  <si>
    <t>Week 19</t>
  </si>
  <si>
    <t>Week 20</t>
  </si>
  <si>
    <t>Week 21</t>
  </si>
  <si>
    <t>Week 22</t>
  </si>
  <si>
    <t xml:space="preserve">CT-1 de-synch @ 2022 hrs &amp; synch @ 2124 hrs due to suspension of HBTU gas by M/S SNGPL. </t>
  </si>
  <si>
    <t>Plant load increased from 126 to 138 MW by taking both duct burners into service at 1100 hrs to achieve maximum export.</t>
  </si>
  <si>
    <t>Normal operation. Gas turbine CT-2 de-synch @2221hrs for balancing purpose and compressor offline washing.</t>
  </si>
  <si>
    <t>Gas turbine CT-2 synch @ 1248 hrs after offline washing and balancing. Gas turbine CT-2 de-synch @ 1951 hrs and again synch @ 2042 hrs.</t>
  </si>
  <si>
    <t>Normal operation. “Annual Dependable Capacity (ADC) Test” for the year 2018 carried out successfully.</t>
  </si>
  <si>
    <t xml:space="preserve">Plant load remained 125~128 MW from 1755 hrs to 2400 hrs at "NPCC Demand". </t>
  </si>
  <si>
    <t>Plant load remained 125 MW from 00:00 hrs to 08:00 hrs at NPCC demand &amp; 124~126 MW from 08:00 hrs to 24:00 hrs to remain within contractual heat rate.</t>
  </si>
  <si>
    <t>Plant load increased from 125 to 137 MW by taking both duct burners into service at 1100 hrs to achieve maximum export. Load reduced from 137 to 127 MW at 2300 hrs by reducing DB firing to remain within contractual heat rate.</t>
  </si>
  <si>
    <t>Plant load restricted to 124~129 MW from 0000~2400 hrs, as both duct burners kept at minimum firing to remain within contractual heat rate.</t>
  </si>
  <si>
    <t>Plant tripped at 0930hrs due to WAPDA supply failure (WAPDA system blackout). WAPDA supply restored at 1226 hrs, however after heavy jerks in 132KV system voltages supply again failed at 1354hrs during plant startup. After restoration of WAPDA supply CT-2 synch @1527 hrs but ST filed to start due to high vibration at bearing#2. It was decided to shutdown CT2 which desynch at @1802 hrs till rectification of fault at ST.</t>
  </si>
  <si>
    <t>After rectification of fault at Steam turbine unit plant started successfully. CT-1 synch at 1706 hrs, STG at 2307 hrs &amp; CT-2 at 2342 hrs.</t>
  </si>
  <si>
    <t>Plant load remained 125MW upto 0342hrs at "NPCC Demand" &amp; load remained restricted 125~128MW from 0342~2400hrs to remain within contractual heatrate.</t>
  </si>
  <si>
    <t>Plant load restricted 125~129 MW from 0000~2400 hrs as both DBs kept off to remain within contractual heatrate.</t>
  </si>
  <si>
    <t>Plant load restricted 126~130 MW from 0000~2400 hrs as both DBs kept off to remain within contractual heatrate.</t>
  </si>
  <si>
    <t>Plant tripped @ 1712 hrs due to WAPDA supply failure. After restoration of Wapda supply at 1743hrs, plant started &amp; Gas turbine (CT-2) synch @ 1824 hrs. Plant again tripped at 1839hrs due to WAPDA supply failure. Wapda supply restored at 1843 hrs but remained below our technical limits (110~115KV). WAPDA supply stabilized at 1942 hrs, Gas turbine (CT-2) synch @ 2017 hrs, Steam turbine (STG) synch @ 2105 hrs &amp; Gas turbine (CT-1) synch @ 2123 hrs.</t>
  </si>
  <si>
    <t>Plant load restricted 124~129 MW from 0000~2400 hrs as both DBs kept off to remain within contractual heatrate.</t>
  </si>
  <si>
    <t>Plant load restricted 123~128 MW from 0000~2400 hrs as both DBs kept off to remain within contractual heatrate.</t>
  </si>
  <si>
    <t>Plant load restricted 122~127 MW from 0000~2400 hrs as both DBs kept off to remain within contractual heatrate.</t>
  </si>
  <si>
    <t>Plant load restricted 122~128 MW from 0000~2400 hrs as both DBs kept off to remain within contractual heatrate.</t>
  </si>
  <si>
    <t>Plant load restricted 125~129 MW from 0000~2400 hrs as both DBs kept off to remain within contractual heatrate</t>
  </si>
  <si>
    <t>Plant load restricted 120~126 MW from 0000~2400 hrs as both DBs kept off to remain within contractual heatrate.</t>
  </si>
  <si>
    <t>FKPCL plant tripped @ 1015 hrs due to WAPDA supply failure. After normalization of system voltages at 1119 hrs, CT-2 synch @ 1206 hrs &amp; STG synch @ 1244 hrs. FKPCL plant again tripped @ 1301 hrs due to WAPDA supply failure. After normalization of system voltages at 1547 hrs, CT-2 synch @ 1617 hrs, STG synch @ 1729 hrs &amp; CT-1 synch @ 1800 hrs.</t>
  </si>
  <si>
    <t>Week 23</t>
  </si>
  <si>
    <t>Week 24</t>
  </si>
  <si>
    <t>Week 25</t>
  </si>
  <si>
    <t>Week 26</t>
  </si>
  <si>
    <t>Plant load restricted 122~126 MW from 0000~2400 hrs as both DBs kept off to remain within contractual heatrate.</t>
  </si>
  <si>
    <t>Plant load restricted 120~124 MW from 0000~2400 hrs as both DBs kept off to remain within contractual heatrate.</t>
  </si>
  <si>
    <t xml:space="preserve">Complex tripped @ 1329 hrs due to Wapda Supply Failure. Wapda Supply restored @ 1332 hrs, but voltages remained below PPA technical limits. Wapda supply stabilized @ 1435 hrs and plant started, CT-2 synch @ 1501 hrs, STG synch @ 1536 hrs &amp; CT-1 synch @ 1606 hrs. </t>
  </si>
  <si>
    <t>Plant load restricted 118~124 MW from 0000~2400 hrs as both DBs kept off to remain within contractual heatrate.</t>
  </si>
  <si>
    <t>Plant load restricted 120~125 MW from 0000~2400 hrs as both DBs kept off to remain within contractual heatrate.</t>
  </si>
  <si>
    <t>Plant load restricted 120~122 MW from 0000~2400 hrs as both DBs kept off to remain within contractual heatrate.</t>
  </si>
  <si>
    <t>Plant load restricted 119~122 MW from 0000~2400 hrs as both DBs kept off to remain within contractual heatrate.</t>
  </si>
  <si>
    <t>Plant load restricted 120~123 MW from 0000~2400 hrs as both DBs kept off to remain within contractual heatrate.</t>
  </si>
  <si>
    <t>Plant load restricted 118~121 MW from 0000~2400 hrs as both DBs kept off to remain within contractual heatrate.</t>
  </si>
  <si>
    <t>Plant load restricted 116~122 MW from 0000~2400 hrs as both DBs kept off to remain within contractual heatrate.</t>
  </si>
  <si>
    <t>Plant load restricted 118~123 MW from 0000~2400 hrs as both DBs kept off to remain within contractual heatrate.</t>
  </si>
  <si>
    <t>Plant load restricted 118~122 MW from 0000~2400 hrs as both DBs kept off to remain within contractual heatrate.</t>
  </si>
  <si>
    <t>Plant load remained 90 MW from 0416~0815 hrs &amp; 62 MW from 0815~1630 hrs at NPCC demand. CT-1 de-synch @ 0825 hrs &amp; synch @ 1624 hrs to meet NPCC load demand.</t>
  </si>
  <si>
    <t>NPCC load demand of 0 MW received @ 0240 hrs. CT-2 de-synch @ 0257 hrs, CT-1 de-synch @ 0300 hrs &amp; STG de-synch @ 0300 hrs. CT-2 compressor offline washing carried out.</t>
  </si>
  <si>
    <t>NPCC load demand of 141 MW received @ 0752 hrs. CT-2 synch @ 0838 hrs, CT-1 synch @ 1159 hrs &amp; STG de-synch @ 1031 hrs. CT-1 compressor offline washing carried out.</t>
  </si>
  <si>
    <t>Plant load restricted 120~124 MW from 0000~2207 hrs as both DBs kept off to remain within contractual heatrate. CT-1 de-synch @ 2233 hrs to meet NPCC load demand of 62 MW received @2207 hrs.</t>
  </si>
  <si>
    <t xml:space="preserve">After receiving max load demand from NPCC @ 0840 hrs, CT-1 synch @ 0910 hrs. Both DBs kept off to remain within contractual heatrate.  </t>
  </si>
  <si>
    <t>Plant load restricted 119~124 MW from 0000~2400 hrs as both DBs kept off to remain within contractual heatrate.</t>
  </si>
  <si>
    <t>Plant load restricted 122~123 MW from 0000~1100 hrs &amp; 2300~0000 hrs as both DBs kept off to remain within contractual heatrate.</t>
  </si>
  <si>
    <t>Plant load restricted 121~125 MW from 0000~1100 hrs &amp; 2300~0000 hrs as both DBs kept off to remain within contractual heatrate.</t>
  </si>
  <si>
    <t>Plant load restricted 123~124 MW from 0000~1100 hrs &amp; 2300~0000 hrs as both DBs kept off to remain within contractual heatrate.</t>
  </si>
  <si>
    <t>Plant load remained 124 MW from 0000~0632 hrs &amp; 126 MW from 1848~2400 hrs to meet NPCC load demand.</t>
  </si>
  <si>
    <t>Week 27</t>
  </si>
  <si>
    <t>Week 28</t>
  </si>
  <si>
    <t>Week 29</t>
  </si>
  <si>
    <t>Week 30</t>
  </si>
  <si>
    <t>Plant load remained 126 MW from 0000~0606 hrs to meet NPCC load demand. CT-1 Tripped on inlet vacuum high @ 0606 hrs and Synch @ 0944 hrs.</t>
  </si>
  <si>
    <t>Plant load remained 90 MW from 0230~0757 hrs at NPCC demand. Plant load restricted 119~123 MW from 0757~2146 hrs to remain within contractual heatrate. CT-1 desynch at 2202 hrs to meet NPCC load demand of 61 MW.</t>
  </si>
  <si>
    <t xml:space="preserve">Plant load remained 61 MW from 0000~1010 hrs at NPCC demand. CT-1 synch at 1048 hrs after receiving NPCC maximum load demand. Plant load increased but restricted to 119~123 MW from 1135~2400 hrs to remain within contractual heatrate. </t>
  </si>
  <si>
    <t>4..6</t>
  </si>
  <si>
    <t>CT-1 de-synch at 0109 hrs and again synch at 0954 hrs after receiving NPCC maximum load demand. Plant load restricted 119~123 MW from 1100~2400 hrs as both DBs kept off to remain within contractual heatrate</t>
  </si>
  <si>
    <t>Plant load restricted 121~125 MW from 0000~2400 hrs as both DBs kept off to remain within contractual heatrate.</t>
  </si>
  <si>
    <t>Plant load restricted 119~121 MW from 0000~2400 hrs as both DBs kept off to remain within contractual heatrate.</t>
  </si>
  <si>
    <t>Plant load restricted 117~120 MW from 0000~2400 hrs as both DBs kept off to remain within contractual heatrate.</t>
  </si>
  <si>
    <t>Plant load restricted 117~121 MW from 0000~2400 hrs as both DBs kept off to remain within contractual heatrate.</t>
  </si>
  <si>
    <t>Plant load restricted 117~122 MW from 0000~2400 hrs as both DBs kept off to remain within contractual heatrate.</t>
  </si>
  <si>
    <t>Week 31</t>
  </si>
  <si>
    <t xml:space="preserve">Plant load restricted 118~120 MW from 0000~2400 hrs as both DBs kept off to remain within contractual heatrate. LBTU well NP-1 injected by OGDCL and flow increased from 7.8 to 10 mmscfd. </t>
  </si>
  <si>
    <t>Week 32</t>
  </si>
  <si>
    <t>Week 33</t>
  </si>
  <si>
    <t>Week 34</t>
  </si>
  <si>
    <t>Week 35</t>
  </si>
  <si>
    <t>Plant load restricted 113~120 MW from 0000~2400 hrs as both DBs kept off to remain within contractual heatrate.</t>
  </si>
  <si>
    <t xml:space="preserve">Plant tripped @ 1524 hrs due to "Internal Fault". After rectification of fault, CT-2 synch @ 1728, STG synch @ 1833 hrs &amp; CT-1 synch @ 2213 hrs. </t>
  </si>
  <si>
    <t>Plant load restricted 117~119 MW from 0000~2400 hrs as both DBs kept off to remain within contractual heatrate.</t>
  </si>
  <si>
    <t>STG tripped @ 0551 hrs due to "Internal Fault". After rectification of fault, STG synch @ 0939 hrs .</t>
  </si>
  <si>
    <t xml:space="preserve">Plant load restricted 113~119 MW from 0000~2400 hrs as both DBs kept off to remain within contractual heatrate. </t>
  </si>
  <si>
    <t xml:space="preserve">Plant load restricted 118~122 MW from 0000~2400 hrs as both DBs kept off to remain within contractual heatrate. </t>
  </si>
  <si>
    <t xml:space="preserve">Plant load restricted 115~121 MW from 0000~2400 hrs as both DBs kept off to remain within contractual heatrate. </t>
  </si>
  <si>
    <t xml:space="preserve">Plant load restricted 114~122 MW from 0000~2400 hrs as both DBs kept off to remain within contractual heatrate. </t>
  </si>
  <si>
    <t xml:space="preserve">Plant load restricted 117~121 MW from 0000~2400 hrs as both DBs kept off to remain within contractual heatrate. </t>
  </si>
  <si>
    <t xml:space="preserve">Plant load restricted 118~123 MW from 0000~2400 hrs as both DBs kept off to remain within contractual heatrate. </t>
  </si>
  <si>
    <t>Week 36</t>
  </si>
  <si>
    <t>Week 37</t>
  </si>
  <si>
    <t>Week 38</t>
  </si>
  <si>
    <t>Week 39</t>
  </si>
  <si>
    <t>Plant load restricted 119~123 MW from 0000~2400 hrs as both DBs kept off to remain within contractual heatrate.</t>
  </si>
  <si>
    <t>Plant load restricted 118~123 MW from 0000~2400 hrs; both DBs kept off to remain within contractual heatrate.</t>
  </si>
  <si>
    <t>Plant load restricted 119~122 MW from 0000~2400 hrs; both DBs kept off to remain within contractual heatrate.</t>
  </si>
  <si>
    <t>Plant load restricted 119~123 MW from 0000~2400 hrs; both DBs kept off to remain within contractual heatrate.</t>
  </si>
  <si>
    <t>Plant load restricted 120~124 MW from 0000~2400 hrs; both DBs kept off to remain within contractual heatrate.</t>
  </si>
  <si>
    <t>Plant load restricted 121~124 MW from 0000~2400 hrs; both DBs kept off to remain within contractual heatrate.</t>
  </si>
  <si>
    <t>Plant load restricted 122~125 MW from 0000~2400 hrs; both DBs kept off to remain within contractual heatrate.</t>
  </si>
  <si>
    <t>Plant load restricted 120~125 MW from 0000~2400 hrs; both DBs kept off to remain within contractual heatrate.</t>
  </si>
  <si>
    <t>Plant load restricted 120~126 MW from 0000~2400 hrs; both DBs kept off to remain within contractual heatrate.</t>
  </si>
  <si>
    <t>CT-1 de-synch @ 2303 hrs to achieve NPCC demand of 45% of complex export.</t>
  </si>
  <si>
    <t>-</t>
  </si>
  <si>
    <t>CT-1 remained shutdown and at standby mode at NPCC demand.</t>
  </si>
  <si>
    <t>CT-1 synch @ 0731 hrs to achieve maximum load as per NPCC demand.</t>
  </si>
  <si>
    <t>Plant load increased from 125 to 138 MW by increasing duct burners firing at 1100 hrs to achieve maximum export. CT-1 de-synch @ 2219 hrs to achieve NPCC demand of 45% of complex export.</t>
  </si>
  <si>
    <t>1825~2145</t>
  </si>
  <si>
    <t>CT-1 synch @ 1606 hrs after receiving NPCC maximum load demand. CT-1 de-synch @ 2200 hrs to achieve NPCC demand of 45% of complex export.</t>
  </si>
  <si>
    <t>CT-1 remained shutdown and in standby mode throughout the day as per NPCC demand.</t>
  </si>
  <si>
    <t>Plant load reduced to 0 MW as per NPCC demand. STG de-synch @ 2244 hrs and CT-2 de-synch @ 2245 hrs and put in standby mode (CT-1 already shutdown and in standby mode).</t>
  </si>
  <si>
    <t>Plant remained shutdown and in standby mode throughout the day as per NPCC demand.</t>
  </si>
  <si>
    <t>Week 40</t>
  </si>
  <si>
    <t>Week 41</t>
  </si>
  <si>
    <t>Week 42</t>
  </si>
  <si>
    <t>Week 43</t>
  </si>
  <si>
    <t>Week 44</t>
  </si>
  <si>
    <t>NPCC demand of maximum load received at 1515 hrs. CT-2 synch at 1609hrs, ST at 1859hrs &amp; CT-1 at 1932hrs.</t>
  </si>
  <si>
    <t xml:space="preserve">NPCC load demand of 120 MW received from 0111 to 1155 hrs. </t>
  </si>
  <si>
    <t xml:space="preserve">NPCC load demand of 122 MW received from 0009 to 0954 hrs. </t>
  </si>
  <si>
    <t>Plant remained at 122 MW on NPCC load demand from 0250 hrs to 0534 hrs. CT-1 desynch at 2234 hrs to achieve NPCC demand of 45% of complex export.</t>
  </si>
  <si>
    <t>Plant remained at 68 MW on NPCC load demand of 45% load from 0000 hrs to 0815 hrs. CT-1 synch at 0855 hrs after receiving maximum load demand from NPCC. CT-1 desynch at 2228 hrs to achieve NPCC demand of 45% of complex export.</t>
  </si>
  <si>
    <t>CT-2 de-synch @ 1021 hrs, STG de-synch at 1020hrs to achieve 0 MW load as per NPCC demand. CT-2 synch @ 1711 hrs, STG synch @ 2157hrs and CT-1 synch @ 2221hrs &amp; load increased to maximum as per NPCC demand.</t>
  </si>
  <si>
    <t>CT-1 de-synch @ 0003 hrs to achieve 70 MW load as per NPCC demand. CT-1 synch @ 1538 hrs &amp; load increased to maximum as per NPCC demand.</t>
  </si>
  <si>
    <t>Plant load rduced to 100 MW at 0542 hrs as per NPCC demand. Plant load increased to maximum at 1238 hrs as per NPCC demand.</t>
  </si>
  <si>
    <t>CT-1 @ 0015 hrs, ST @ 0214 hrs &amp; CT-2 @ 0219 hrs de-synch against 0 MW despatch. CT-2 @ 0933 hrs, STG @ 1055 hrs &amp; CT-1 @ 1128 hrs Synch against Max. load despatch. CT-1 Desynch @ 2225 hrs against 68 MW despatch.</t>
  </si>
  <si>
    <t>CT-1 Synch @ 0557 hrs against NPCC maximum load demand. From 1000~2400 hrs plant remained at 130 MW to improve plant heat rate</t>
  </si>
  <si>
    <t>CT-1 Desynch @ 2345 hrs against 68 MW despatch.</t>
  </si>
  <si>
    <t>CT-1 synch @ 0916 hrs against NPCC maximum load demand.</t>
  </si>
  <si>
    <t>CT-1 desynch @0205hrs at NPCC demand of 73 MW. CT-1 synch @0623 hrs after receiving maximum load demand from NPCC. CT-1 again desynch at 2346 hrs to achieve NPCC load demand of 72 MW.</t>
  </si>
  <si>
    <t>CT-1 synch @ 0547 hrs after receiving maximum load demand from NPCC. CT-1 again desynch at 2132 hrs to achieve NPCC load demand of 72 MW.</t>
  </si>
  <si>
    <t>CT-1 synch at 0658 hrs to achieve NPCC maximum load demand. At 2138hrs load reduced to 120 MW on NPCC demand. CT-1 de-synch @ 2251 hrs, STG  @ 2306 hrs and CT-2  @ 2325 hrs to avail scheduled outage of complex for 2018.</t>
  </si>
  <si>
    <t>Week 45</t>
  </si>
  <si>
    <t>Week 46</t>
  </si>
  <si>
    <t>Week 47</t>
  </si>
  <si>
    <t>Week 48</t>
  </si>
  <si>
    <t>FKPCL complex is shutdown for "Scheduled Outage of 2018".</t>
  </si>
  <si>
    <t>FKPCL complex remained shutdown for "Scheduled Outage of 2018".</t>
  </si>
  <si>
    <t>no data</t>
  </si>
  <si>
    <t>Week 49</t>
  </si>
  <si>
    <t>Week 50</t>
  </si>
  <si>
    <t>Week 51</t>
  </si>
  <si>
    <t>Week 52</t>
  </si>
  <si>
    <t>FKPCL complex remained shutdown due to ongoing major overhauling activities for steam turbine.</t>
  </si>
  <si>
    <t>FKPCL complex remained shutdown due to ongoing major overhauling activities for steam turbine. CT-1 started for balancing purpose but M/C tripped on inlet bearing high vibration at 1680 rpm.</t>
  </si>
  <si>
    <t>FKPCL complex remained shutdown due to ongoing major overhauling activities for steam turbine. CT-1 started for balancing purpose but M/C tripped on inlet and exhaust bearing high vibration.</t>
  </si>
  <si>
    <t>CT-2 &amp; STG started for "Testing &amp; Balancing" Purpose. CT-2 synch @ 1143 hrs &amp; de-synch @ 2000 hrs. STG synch @ 1644 hrs &amp; de-synch @ 1950 hrs.</t>
  </si>
  <si>
    <t>CT-2 synch @1334 hrs &amp; ST synch @1538 hrs. Complex is declared commercially available from time of synchronization after completion of scheduled outage activities. ST desynch @ 2253 hrs &amp; CT-2 desynch @ 2304 hrs after receiving NPCC minimum load demand.</t>
  </si>
  <si>
    <t>Plant remained shutdown on NPCC demand from 0000~0700 hrs and from 0700~2400 due to suspension of HBTU gas by M/S SNGPL.</t>
  </si>
  <si>
    <t>Plant remained shutdown due to suspension of HBTU gas by M/S SNGPL.</t>
  </si>
</sst>
</file>

<file path=xl/styles.xml><?xml version="1.0" encoding="utf-8"?>
<styleSheet xmlns="http://schemas.openxmlformats.org/spreadsheetml/2006/main">
  <numFmts count="7">
    <numFmt numFmtId="164" formatCode="mmmm\-yy"/>
    <numFmt numFmtId="165" formatCode="0.0"/>
    <numFmt numFmtId="166" formatCode="0.000"/>
    <numFmt numFmtId="167" formatCode="0.0000"/>
    <numFmt numFmtId="168" formatCode="0.0%"/>
    <numFmt numFmtId="169" formatCode="0.00;[Red]0.00"/>
    <numFmt numFmtId="170" formatCode="#,##0.0"/>
  </numFmts>
  <fonts count="35">
    <font>
      <sz val="11"/>
      <color theme="1"/>
      <name val="Calibri"/>
      <family val="2"/>
      <scheme val="minor"/>
    </font>
    <font>
      <sz val="11"/>
      <color indexed="8"/>
      <name val="Calibri"/>
      <family val="2"/>
    </font>
    <font>
      <b/>
      <sz val="14"/>
      <name val="Arial"/>
      <family val="2"/>
    </font>
    <font>
      <b/>
      <sz val="10"/>
      <name val="Arial"/>
      <family val="2"/>
    </font>
    <font>
      <sz val="10"/>
      <name val="Arial Narrow"/>
      <family val="2"/>
    </font>
    <font>
      <sz val="8"/>
      <name val="Arial"/>
      <family val="2"/>
    </font>
    <font>
      <sz val="7"/>
      <name val="Arial"/>
      <family val="2"/>
    </font>
    <font>
      <b/>
      <sz val="9"/>
      <name val="Arial"/>
      <family val="2"/>
    </font>
    <font>
      <b/>
      <sz val="8"/>
      <name val="Arial"/>
      <family val="2"/>
    </font>
    <font>
      <sz val="10"/>
      <name val="Arial"/>
      <family val="2"/>
    </font>
    <font>
      <sz val="9"/>
      <name val="Arial"/>
      <family val="2"/>
    </font>
    <font>
      <b/>
      <vertAlign val="superscript"/>
      <sz val="9"/>
      <name val="Arial"/>
      <family val="2"/>
    </font>
    <font>
      <b/>
      <sz val="14"/>
      <color indexed="10"/>
      <name val="Arial"/>
      <family val="2"/>
    </font>
    <font>
      <sz val="10"/>
      <color indexed="18"/>
      <name val="Arial"/>
      <family val="2"/>
    </font>
    <font>
      <sz val="10"/>
      <color indexed="10"/>
      <name val="Arial"/>
      <family val="2"/>
    </font>
    <font>
      <b/>
      <sz val="10"/>
      <color indexed="10"/>
      <name val="Arial"/>
      <family val="2"/>
    </font>
    <font>
      <sz val="10"/>
      <color indexed="61"/>
      <name val="Arial"/>
      <family val="2"/>
    </font>
    <font>
      <b/>
      <sz val="10"/>
      <color indexed="12"/>
      <name val="Arial"/>
      <family val="2"/>
    </font>
    <font>
      <sz val="10"/>
      <color indexed="8"/>
      <name val="Arial"/>
      <family val="2"/>
    </font>
    <font>
      <sz val="10"/>
      <color indexed="10"/>
      <name val="Arial"/>
      <family val="2"/>
    </font>
    <font>
      <b/>
      <sz val="10"/>
      <color indexed="10"/>
      <name val="Arial"/>
      <family val="2"/>
    </font>
    <font>
      <b/>
      <sz val="10"/>
      <color indexed="8"/>
      <name val="Arial"/>
      <family val="2"/>
    </font>
    <font>
      <sz val="10"/>
      <color indexed="60"/>
      <name val="Arial"/>
      <family val="2"/>
    </font>
    <font>
      <b/>
      <sz val="12"/>
      <color indexed="10"/>
      <name val="Arial"/>
      <family val="2"/>
    </font>
    <font>
      <sz val="12"/>
      <color indexed="12"/>
      <name val="Arial"/>
      <family val="2"/>
    </font>
    <font>
      <b/>
      <sz val="10"/>
      <color rgb="FFFF0000"/>
      <name val="Arial"/>
      <family val="2"/>
    </font>
    <font>
      <sz val="10"/>
      <color theme="1"/>
      <name val="Arial"/>
      <family val="2"/>
    </font>
    <font>
      <sz val="10"/>
      <color theme="1"/>
      <name val="Calibri"/>
      <family val="2"/>
      <scheme val="minor"/>
    </font>
    <font>
      <b/>
      <sz val="11"/>
      <color indexed="21"/>
      <name val="Arial"/>
      <family val="2"/>
    </font>
    <font>
      <b/>
      <sz val="11"/>
      <name val="Arial"/>
      <family val="2"/>
    </font>
    <font>
      <sz val="11"/>
      <color theme="1"/>
      <name val="Arial"/>
      <family val="2"/>
    </font>
    <font>
      <sz val="10"/>
      <color theme="1"/>
      <name val="Arial "/>
    </font>
    <font>
      <sz val="10"/>
      <color theme="1"/>
      <name val="Arial Narrow"/>
      <family val="2"/>
    </font>
    <font>
      <sz val="9"/>
      <color indexed="81"/>
      <name val="Tahoma"/>
      <family val="2"/>
    </font>
    <font>
      <b/>
      <sz val="9"/>
      <color indexed="81"/>
      <name val="Tahoma"/>
      <family val="2"/>
    </font>
  </fonts>
  <fills count="18">
    <fill>
      <patternFill patternType="none"/>
    </fill>
    <fill>
      <patternFill patternType="gray125"/>
    </fill>
    <fill>
      <patternFill patternType="solid">
        <fgColor indexed="22"/>
        <bgColor indexed="64"/>
      </patternFill>
    </fill>
    <fill>
      <patternFill patternType="solid">
        <fgColor indexed="45"/>
        <bgColor indexed="64"/>
      </patternFill>
    </fill>
    <fill>
      <patternFill patternType="solid">
        <fgColor indexed="43"/>
        <bgColor indexed="64"/>
      </patternFill>
    </fill>
    <fill>
      <patternFill patternType="solid">
        <fgColor indexed="44"/>
        <bgColor indexed="64"/>
      </patternFill>
    </fill>
    <fill>
      <patternFill patternType="solid">
        <fgColor indexed="46"/>
        <bgColor indexed="64"/>
      </patternFill>
    </fill>
    <fill>
      <patternFill patternType="solid">
        <fgColor indexed="13"/>
        <bgColor indexed="64"/>
      </patternFill>
    </fill>
    <fill>
      <patternFill patternType="solid">
        <fgColor indexed="41"/>
        <bgColor indexed="64"/>
      </patternFill>
    </fill>
    <fill>
      <patternFill patternType="solid">
        <fgColor indexed="5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FFF99"/>
        <bgColor indexed="64"/>
      </patternFill>
    </fill>
    <fill>
      <patternFill patternType="solid">
        <fgColor theme="4" tint="0.39997558519241921"/>
        <bgColor indexed="64"/>
      </patternFill>
    </fill>
    <fill>
      <patternFill patternType="solid">
        <fgColor rgb="FFCCFFFF"/>
        <bgColor indexed="64"/>
      </patternFill>
    </fill>
    <fill>
      <patternFill patternType="solid">
        <fgColor rgb="FF8DB0E3"/>
        <bgColor indexed="64"/>
      </patternFill>
    </fill>
  </fills>
  <borders count="54">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right style="double">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thin">
        <color indexed="64"/>
      </right>
      <top style="medium">
        <color indexed="64"/>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534">
    <xf numFmtId="0" fontId="0" fillId="0" borderId="0" xfId="0"/>
    <xf numFmtId="0" fontId="0" fillId="0" borderId="0" xfId="0" applyBorder="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0" fillId="0" borderId="0" xfId="0" applyFill="1"/>
    <xf numFmtId="0" fontId="0" fillId="0" borderId="0" xfId="0" applyAlignment="1">
      <alignment horizontal="center"/>
    </xf>
    <xf numFmtId="0" fontId="0" fillId="0" borderId="0" xfId="0" applyFill="1" applyAlignment="1">
      <alignment horizontal="center"/>
    </xf>
    <xf numFmtId="164" fontId="2" fillId="2" borderId="0" xfId="0" applyNumberFormat="1" applyFont="1" applyFill="1" applyBorder="1" applyAlignment="1" applyProtection="1">
      <alignment horizontal="left"/>
      <protection locked="0"/>
    </xf>
    <xf numFmtId="0" fontId="0" fillId="2" borderId="0" xfId="0" applyFill="1" applyProtection="1">
      <protection locked="0"/>
    </xf>
    <xf numFmtId="0" fontId="0" fillId="0" borderId="0" xfId="0" applyFill="1" applyBorder="1" applyProtection="1">
      <protection locked="0"/>
    </xf>
    <xf numFmtId="0" fontId="0" fillId="2" borderId="1" xfId="0" applyFill="1" applyBorder="1" applyProtection="1">
      <protection locked="0"/>
    </xf>
    <xf numFmtId="0" fontId="0" fillId="2" borderId="2" xfId="0" applyFill="1" applyBorder="1" applyProtection="1">
      <protection locked="0"/>
    </xf>
    <xf numFmtId="0" fontId="0" fillId="0" borderId="3" xfId="0" applyBorder="1"/>
    <xf numFmtId="0" fontId="10" fillId="0" borderId="0" xfId="0" applyFont="1" applyFill="1" applyBorder="1" applyAlignment="1" applyProtection="1">
      <alignment horizontal="center" vertical="top" wrapText="1"/>
      <protection hidden="1"/>
    </xf>
    <xf numFmtId="0" fontId="0" fillId="3" borderId="4" xfId="0" applyFill="1" applyBorder="1" applyAlignment="1" applyProtection="1">
      <alignment horizontal="center" vertical="top" wrapText="1"/>
      <protection locked="0"/>
    </xf>
    <xf numFmtId="0" fontId="0" fillId="0" borderId="0" xfId="0" applyFill="1" applyBorder="1" applyAlignment="1">
      <alignment horizontal="center" vertical="justify"/>
    </xf>
    <xf numFmtId="0" fontId="0" fillId="0" borderId="5" xfId="0" applyBorder="1"/>
    <xf numFmtId="0" fontId="0" fillId="3" borderId="4" xfId="0" applyFill="1" applyBorder="1" applyAlignment="1">
      <alignment horizontal="center"/>
    </xf>
    <xf numFmtId="0" fontId="3" fillId="3" borderId="6" xfId="0" applyFont="1" applyFill="1" applyBorder="1" applyAlignment="1" applyProtection="1">
      <alignment horizontal="left" vertical="top" wrapText="1" indent="1"/>
      <protection locked="0"/>
    </xf>
    <xf numFmtId="0" fontId="3" fillId="3" borderId="7" xfId="0" applyFont="1" applyFill="1" applyBorder="1" applyAlignment="1" applyProtection="1">
      <alignment horizontal="center" vertical="top" wrapText="1"/>
      <protection locked="0"/>
    </xf>
    <xf numFmtId="0" fontId="3" fillId="3" borderId="8" xfId="0" applyFont="1" applyFill="1" applyBorder="1" applyAlignment="1" applyProtection="1">
      <alignment horizontal="center" vertical="top" wrapText="1"/>
      <protection locked="0"/>
    </xf>
    <xf numFmtId="0" fontId="3" fillId="3" borderId="9" xfId="0" applyFont="1" applyFill="1" applyBorder="1" applyAlignment="1" applyProtection="1">
      <alignment horizontal="center" vertical="top" wrapText="1"/>
      <protection locked="0"/>
    </xf>
    <xf numFmtId="0" fontId="3" fillId="3" borderId="10" xfId="0" applyFont="1" applyFill="1" applyBorder="1" applyAlignment="1" applyProtection="1">
      <alignment horizontal="center" vertical="top" wrapText="1"/>
      <protection locked="0"/>
    </xf>
    <xf numFmtId="0" fontId="3" fillId="3" borderId="11" xfId="0" applyFont="1" applyFill="1" applyBorder="1" applyAlignment="1" applyProtection="1">
      <alignment horizontal="center" vertical="top" wrapText="1"/>
      <protection locked="0"/>
    </xf>
    <xf numFmtId="15" fontId="9" fillId="4" borderId="4" xfId="0" applyNumberFormat="1" applyFont="1" applyFill="1" applyBorder="1" applyAlignment="1" applyProtection="1">
      <alignment horizontal="center"/>
      <protection hidden="1"/>
    </xf>
    <xf numFmtId="165" fontId="9" fillId="4" borderId="4" xfId="0" applyNumberFormat="1" applyFont="1" applyFill="1" applyBorder="1" applyAlignment="1" applyProtection="1">
      <alignment horizontal="center"/>
      <protection locked="0"/>
    </xf>
    <xf numFmtId="10" fontId="9" fillId="4" borderId="12" xfId="0" applyNumberFormat="1" applyFont="1" applyFill="1" applyBorder="1" applyAlignment="1" applyProtection="1">
      <alignment horizontal="center"/>
      <protection hidden="1"/>
    </xf>
    <xf numFmtId="1" fontId="9" fillId="4" borderId="4" xfId="0" applyNumberFormat="1" applyFont="1" applyFill="1" applyBorder="1" applyAlignment="1" applyProtection="1">
      <alignment horizontal="center"/>
      <protection locked="0"/>
    </xf>
    <xf numFmtId="1" fontId="9" fillId="4" borderId="13" xfId="0" applyNumberFormat="1" applyFont="1" applyFill="1" applyBorder="1" applyAlignment="1" applyProtection="1">
      <alignment horizontal="center"/>
      <protection locked="0"/>
    </xf>
    <xf numFmtId="1" fontId="13" fillId="4" borderId="4" xfId="0" applyNumberFormat="1" applyFont="1" applyFill="1" applyBorder="1" applyAlignment="1" applyProtection="1">
      <alignment horizontal="center"/>
      <protection locked="0"/>
    </xf>
    <xf numFmtId="1" fontId="14" fillId="4" borderId="4" xfId="0" applyNumberFormat="1" applyFont="1" applyFill="1" applyBorder="1" applyAlignment="1" applyProtection="1">
      <alignment horizontal="center"/>
      <protection locked="0"/>
    </xf>
    <xf numFmtId="1" fontId="15" fillId="4" borderId="4" xfId="0" applyNumberFormat="1" applyFont="1" applyFill="1" applyBorder="1" applyAlignment="1" applyProtection="1">
      <alignment horizontal="center"/>
      <protection locked="0"/>
    </xf>
    <xf numFmtId="1" fontId="16" fillId="4" borderId="4" xfId="0" applyNumberFormat="1" applyFont="1" applyFill="1" applyBorder="1" applyAlignment="1" applyProtection="1">
      <alignment horizontal="center"/>
      <protection locked="0"/>
    </xf>
    <xf numFmtId="1" fontId="14" fillId="4" borderId="13" xfId="0" applyNumberFormat="1" applyFont="1" applyFill="1" applyBorder="1" applyAlignment="1" applyProtection="1">
      <alignment horizontal="center"/>
      <protection locked="0"/>
    </xf>
    <xf numFmtId="10" fontId="14" fillId="4" borderId="4" xfId="0" applyNumberFormat="1" applyFont="1" applyFill="1" applyBorder="1" applyAlignment="1" applyProtection="1">
      <alignment horizontal="center"/>
      <protection hidden="1"/>
    </xf>
    <xf numFmtId="2" fontId="14" fillId="4" borderId="4" xfId="0" applyNumberFormat="1" applyFont="1" applyFill="1" applyBorder="1" applyAlignment="1" applyProtection="1">
      <alignment horizontal="center"/>
      <protection hidden="1"/>
    </xf>
    <xf numFmtId="10" fontId="9" fillId="4" borderId="4" xfId="0" applyNumberFormat="1" applyFont="1" applyFill="1" applyBorder="1" applyAlignment="1" applyProtection="1">
      <alignment horizontal="center"/>
      <protection hidden="1"/>
    </xf>
    <xf numFmtId="10" fontId="14" fillId="4" borderId="13" xfId="0" applyNumberFormat="1" applyFont="1" applyFill="1" applyBorder="1" applyAlignment="1" applyProtection="1">
      <alignment horizontal="center"/>
      <protection hidden="1"/>
    </xf>
    <xf numFmtId="2" fontId="9" fillId="4" borderId="4" xfId="0" applyNumberFormat="1" applyFont="1" applyFill="1" applyBorder="1" applyAlignment="1" applyProtection="1">
      <alignment horizontal="center"/>
      <protection locked="0"/>
    </xf>
    <xf numFmtId="2" fontId="9" fillId="4" borderId="15" xfId="0" applyNumberFormat="1" applyFont="1" applyFill="1" applyBorder="1" applyAlignment="1" applyProtection="1">
      <alignment horizontal="center"/>
      <protection locked="0"/>
    </xf>
    <xf numFmtId="0" fontId="9" fillId="4" borderId="4" xfId="0" applyFont="1" applyFill="1" applyBorder="1" applyAlignment="1" applyProtection="1">
      <alignment horizontal="center"/>
      <protection locked="0"/>
    </xf>
    <xf numFmtId="0" fontId="0" fillId="4" borderId="4" xfId="0" applyFill="1" applyBorder="1" applyAlignment="1">
      <alignment horizontal="center"/>
    </xf>
    <xf numFmtId="2" fontId="0" fillId="4" borderId="4" xfId="0" applyNumberFormat="1" applyFill="1" applyBorder="1" applyAlignment="1">
      <alignment horizontal="center"/>
    </xf>
    <xf numFmtId="166" fontId="9" fillId="4" borderId="2" xfId="0" applyNumberFormat="1" applyFont="1" applyFill="1" applyBorder="1" applyAlignment="1">
      <alignment horizontal="center"/>
    </xf>
    <xf numFmtId="166" fontId="9" fillId="4" borderId="4" xfId="0" applyNumberFormat="1" applyFont="1" applyFill="1" applyBorder="1" applyAlignment="1">
      <alignment horizontal="center"/>
    </xf>
    <xf numFmtId="2" fontId="9" fillId="4" borderId="4" xfId="0" applyNumberFormat="1" applyFont="1" applyFill="1" applyBorder="1" applyAlignment="1">
      <alignment horizontal="center"/>
    </xf>
    <xf numFmtId="0" fontId="9" fillId="4" borderId="4" xfId="0" applyNumberFormat="1" applyFont="1" applyFill="1" applyBorder="1" applyAlignment="1">
      <alignment horizontal="center"/>
    </xf>
    <xf numFmtId="0" fontId="9" fillId="4" borderId="4" xfId="0" applyFont="1" applyFill="1" applyBorder="1" applyAlignment="1">
      <alignment horizontal="center"/>
    </xf>
    <xf numFmtId="167" fontId="9" fillId="4" borderId="4" xfId="0" applyNumberFormat="1" applyFont="1" applyFill="1" applyBorder="1" applyAlignment="1">
      <alignment horizontal="center"/>
    </xf>
    <xf numFmtId="2" fontId="9" fillId="0" borderId="4" xfId="0" applyNumberFormat="1" applyFont="1" applyFill="1" applyBorder="1" applyAlignment="1">
      <alignment horizontal="center"/>
    </xf>
    <xf numFmtId="1" fontId="0" fillId="4" borderId="4" xfId="0" applyNumberFormat="1" applyFill="1" applyBorder="1" applyAlignment="1">
      <alignment horizontal="center"/>
    </xf>
    <xf numFmtId="2" fontId="0" fillId="0" borderId="0" xfId="0" applyNumberFormat="1" applyFill="1" applyAlignment="1">
      <alignment horizontal="center"/>
    </xf>
    <xf numFmtId="0" fontId="0" fillId="4" borderId="4" xfId="0" applyNumberFormat="1" applyFill="1" applyBorder="1" applyAlignment="1">
      <alignment horizontal="center"/>
    </xf>
    <xf numFmtId="167" fontId="0" fillId="4" borderId="4" xfId="0" applyNumberFormat="1" applyFill="1" applyBorder="1" applyAlignment="1">
      <alignment horizontal="center"/>
    </xf>
    <xf numFmtId="2" fontId="0" fillId="4" borderId="4" xfId="0" quotePrefix="1" applyNumberFormat="1" applyFill="1" applyBorder="1" applyAlignment="1">
      <alignment horizontal="center"/>
    </xf>
    <xf numFmtId="1" fontId="0" fillId="4" borderId="4" xfId="0" quotePrefix="1" applyNumberFormat="1" applyFill="1" applyBorder="1" applyAlignment="1">
      <alignment horizontal="center"/>
    </xf>
    <xf numFmtId="0" fontId="0" fillId="4" borderId="4" xfId="0" quotePrefix="1" applyNumberFormat="1" applyFill="1" applyBorder="1" applyAlignment="1">
      <alignment horizontal="center"/>
    </xf>
    <xf numFmtId="2" fontId="0" fillId="4" borderId="17" xfId="0" applyNumberFormat="1" applyFill="1" applyBorder="1" applyAlignment="1">
      <alignment horizontal="center"/>
    </xf>
    <xf numFmtId="1" fontId="9" fillId="4" borderId="12" xfId="0" applyNumberFormat="1" applyFont="1" applyFill="1" applyBorder="1" applyAlignment="1" applyProtection="1">
      <alignment horizontal="center"/>
      <protection locked="0"/>
    </xf>
    <xf numFmtId="1" fontId="15" fillId="4" borderId="12" xfId="0" applyNumberFormat="1" applyFont="1" applyFill="1" applyBorder="1" applyAlignment="1" applyProtection="1">
      <alignment horizontal="center"/>
      <protection locked="0"/>
    </xf>
    <xf numFmtId="2" fontId="0" fillId="4" borderId="2" xfId="0" applyNumberFormat="1" applyFill="1" applyBorder="1" applyAlignment="1">
      <alignment horizontal="center"/>
    </xf>
    <xf numFmtId="166" fontId="0" fillId="4" borderId="2" xfId="0" applyNumberFormat="1" applyFill="1" applyBorder="1" applyAlignment="1">
      <alignment horizontal="center"/>
    </xf>
    <xf numFmtId="166" fontId="0" fillId="4" borderId="4" xfId="0" applyNumberFormat="1" applyFill="1" applyBorder="1" applyAlignment="1">
      <alignment horizontal="center"/>
    </xf>
    <xf numFmtId="0" fontId="0" fillId="4" borderId="4" xfId="0" quotePrefix="1" applyFill="1" applyBorder="1" applyAlignment="1">
      <alignment horizontal="center"/>
    </xf>
    <xf numFmtId="167" fontId="0" fillId="4" borderId="4" xfId="0" quotePrefix="1" applyNumberFormat="1" applyFill="1" applyBorder="1" applyAlignment="1">
      <alignment horizontal="center"/>
    </xf>
    <xf numFmtId="0" fontId="15" fillId="4" borderId="12" xfId="0" applyNumberFormat="1" applyFont="1" applyFill="1" applyBorder="1" applyAlignment="1" applyProtection="1">
      <alignment horizontal="center"/>
      <protection locked="0"/>
    </xf>
    <xf numFmtId="165" fontId="9" fillId="4" borderId="4" xfId="0" applyNumberFormat="1" applyFont="1" applyFill="1" applyBorder="1" applyAlignment="1">
      <alignment horizontal="center"/>
    </xf>
    <xf numFmtId="1" fontId="13" fillId="4" borderId="12" xfId="0" applyNumberFormat="1" applyFont="1" applyFill="1" applyBorder="1" applyAlignment="1" applyProtection="1">
      <alignment horizontal="center"/>
      <protection locked="0"/>
    </xf>
    <xf numFmtId="1" fontId="19" fillId="4" borderId="4" xfId="0" applyNumberFormat="1" applyFont="1" applyFill="1" applyBorder="1" applyAlignment="1" applyProtection="1">
      <alignment horizontal="center"/>
      <protection locked="0"/>
    </xf>
    <xf numFmtId="1" fontId="19" fillId="4" borderId="13" xfId="0" applyNumberFormat="1" applyFont="1" applyFill="1" applyBorder="1" applyAlignment="1" applyProtection="1">
      <alignment horizontal="center"/>
      <protection locked="0"/>
    </xf>
    <xf numFmtId="1" fontId="15" fillId="4" borderId="13" xfId="0" applyNumberFormat="1" applyFont="1" applyFill="1" applyBorder="1" applyAlignment="1" applyProtection="1">
      <alignment horizontal="center"/>
      <protection locked="0"/>
    </xf>
    <xf numFmtId="166" fontId="9" fillId="4" borderId="13" xfId="0" applyNumberFormat="1" applyFont="1" applyFill="1" applyBorder="1" applyAlignment="1" applyProtection="1">
      <alignment horizontal="center"/>
      <protection locked="0"/>
    </xf>
    <xf numFmtId="4" fontId="9" fillId="4" borderId="13" xfId="0" applyNumberFormat="1" applyFont="1" applyFill="1" applyBorder="1" applyAlignment="1" applyProtection="1">
      <alignment horizontal="center"/>
      <protection locked="0"/>
    </xf>
    <xf numFmtId="2" fontId="9" fillId="4" borderId="13" xfId="0" applyNumberFormat="1" applyFont="1" applyFill="1" applyBorder="1" applyAlignment="1" applyProtection="1">
      <alignment horizontal="center"/>
      <protection locked="0"/>
    </xf>
    <xf numFmtId="167" fontId="9" fillId="4" borderId="13" xfId="0" applyNumberFormat="1" applyFont="1" applyFill="1" applyBorder="1" applyAlignment="1" applyProtection="1">
      <alignment horizontal="center"/>
      <protection locked="0"/>
    </xf>
    <xf numFmtId="1" fontId="9" fillId="4" borderId="4" xfId="0" applyNumberFormat="1" applyFont="1" applyFill="1" applyBorder="1" applyAlignment="1">
      <alignment horizontal="center"/>
    </xf>
    <xf numFmtId="0" fontId="19" fillId="4" borderId="4" xfId="0" applyNumberFormat="1" applyFont="1" applyFill="1" applyBorder="1" applyAlignment="1" applyProtection="1">
      <alignment horizontal="center"/>
      <protection locked="0"/>
    </xf>
    <xf numFmtId="2" fontId="9" fillId="4" borderId="2" xfId="0" applyNumberFormat="1" applyFont="1" applyFill="1" applyBorder="1" applyAlignment="1">
      <alignment horizontal="center"/>
    </xf>
    <xf numFmtId="0" fontId="0" fillId="4" borderId="17" xfId="0" applyFill="1" applyBorder="1" applyAlignment="1">
      <alignment horizontal="center"/>
    </xf>
    <xf numFmtId="0" fontId="12" fillId="6" borderId="19" xfId="0" applyFont="1" applyFill="1" applyBorder="1" applyAlignment="1">
      <alignment vertical="center" textRotation="180"/>
    </xf>
    <xf numFmtId="0" fontId="3" fillId="6" borderId="13" xfId="0" applyFont="1" applyFill="1" applyBorder="1" applyAlignment="1">
      <alignment horizontal="center"/>
    </xf>
    <xf numFmtId="2" fontId="3" fillId="6" borderId="12" xfId="0" applyNumberFormat="1" applyFont="1" applyFill="1" applyBorder="1" applyAlignment="1" applyProtection="1">
      <alignment horizontal="center"/>
      <protection hidden="1"/>
    </xf>
    <xf numFmtId="10" fontId="3" fillId="6" borderId="12" xfId="0" applyNumberFormat="1" applyFont="1" applyFill="1" applyBorder="1" applyAlignment="1" applyProtection="1">
      <alignment horizontal="center"/>
      <protection hidden="1"/>
    </xf>
    <xf numFmtId="165" fontId="3" fillId="6" borderId="13" xfId="0" applyNumberFormat="1" applyFont="1" applyFill="1" applyBorder="1" applyAlignment="1" applyProtection="1">
      <alignment horizontal="center"/>
      <protection hidden="1"/>
    </xf>
    <xf numFmtId="165" fontId="15" fillId="6" borderId="13" xfId="0" applyNumberFormat="1" applyFont="1" applyFill="1" applyBorder="1" applyAlignment="1" applyProtection="1">
      <alignment horizontal="center"/>
      <protection hidden="1"/>
    </xf>
    <xf numFmtId="169" fontId="3" fillId="6" borderId="13" xfId="0" applyNumberFormat="1" applyFont="1" applyFill="1" applyBorder="1" applyAlignment="1" applyProtection="1">
      <alignment horizontal="center"/>
      <protection hidden="1"/>
    </xf>
    <xf numFmtId="1" fontId="20" fillId="6" borderId="4" xfId="0" applyNumberFormat="1" applyFont="1" applyFill="1" applyBorder="1" applyAlignment="1" applyProtection="1">
      <alignment horizontal="center"/>
    </xf>
    <xf numFmtId="1" fontId="3" fillId="6" borderId="13" xfId="0" applyNumberFormat="1" applyFont="1" applyFill="1" applyBorder="1" applyAlignment="1" applyProtection="1">
      <alignment horizontal="center"/>
      <protection hidden="1"/>
    </xf>
    <xf numFmtId="10" fontId="3" fillId="6" borderId="13" xfId="0" applyNumberFormat="1" applyFont="1" applyFill="1" applyBorder="1" applyAlignment="1" applyProtection="1">
      <alignment horizontal="center"/>
      <protection hidden="1"/>
    </xf>
    <xf numFmtId="166" fontId="3" fillId="6" borderId="13" xfId="0" applyNumberFormat="1" applyFont="1" applyFill="1" applyBorder="1" applyAlignment="1" applyProtection="1">
      <alignment horizontal="center"/>
      <protection hidden="1"/>
    </xf>
    <xf numFmtId="2" fontId="3" fillId="6" borderId="13" xfId="0" applyNumberFormat="1" applyFont="1" applyFill="1" applyBorder="1" applyAlignment="1" applyProtection="1">
      <alignment horizontal="center"/>
      <protection hidden="1"/>
    </xf>
    <xf numFmtId="2" fontId="21" fillId="6" borderId="16" xfId="0" applyNumberFormat="1" applyFont="1" applyFill="1" applyBorder="1" applyAlignment="1" applyProtection="1">
      <alignment horizontal="center"/>
      <protection hidden="1"/>
    </xf>
    <xf numFmtId="0" fontId="0" fillId="0" borderId="4" xfId="0" applyBorder="1"/>
    <xf numFmtId="2" fontId="3" fillId="6" borderId="4" xfId="0" applyNumberFormat="1" applyFont="1" applyFill="1" applyBorder="1" applyAlignment="1">
      <alignment horizontal="center"/>
    </xf>
    <xf numFmtId="0" fontId="0" fillId="6" borderId="4" xfId="0" applyFill="1" applyBorder="1" applyAlignment="1">
      <alignment horizontal="center"/>
    </xf>
    <xf numFmtId="2" fontId="0" fillId="6" borderId="4" xfId="0" applyNumberFormat="1" applyFill="1" applyBorder="1" applyAlignment="1">
      <alignment horizontal="center"/>
    </xf>
    <xf numFmtId="167" fontId="0" fillId="6" borderId="4" xfId="0" applyNumberFormat="1" applyFill="1" applyBorder="1" applyAlignment="1">
      <alignment horizontal="center"/>
    </xf>
    <xf numFmtId="166" fontId="3" fillId="6" borderId="4" xfId="0" applyNumberFormat="1" applyFont="1" applyFill="1" applyBorder="1" applyAlignment="1" applyProtection="1">
      <alignment horizontal="center"/>
      <protection hidden="1"/>
    </xf>
    <xf numFmtId="0" fontId="12" fillId="6" borderId="20" xfId="0" applyFont="1" applyFill="1" applyBorder="1" applyAlignment="1">
      <alignment vertical="center" textRotation="180"/>
    </xf>
    <xf numFmtId="0" fontId="3" fillId="6" borderId="21" xfId="0" applyFont="1" applyFill="1" applyBorder="1" applyAlignment="1">
      <alignment horizontal="center"/>
    </xf>
    <xf numFmtId="0" fontId="0" fillId="6" borderId="21" xfId="0" applyFill="1" applyBorder="1"/>
    <xf numFmtId="0" fontId="7" fillId="6" borderId="22" xfId="0" applyFont="1" applyFill="1" applyBorder="1" applyAlignment="1" applyProtection="1">
      <alignment horizontal="center"/>
      <protection hidden="1"/>
    </xf>
    <xf numFmtId="0" fontId="7" fillId="6" borderId="23" xfId="0" applyFont="1" applyFill="1" applyBorder="1" applyAlignment="1" applyProtection="1">
      <alignment horizontal="center"/>
      <protection hidden="1"/>
    </xf>
    <xf numFmtId="0" fontId="7" fillId="6" borderId="21" xfId="0" applyFont="1" applyFill="1" applyBorder="1" applyAlignment="1" applyProtection="1">
      <alignment horizontal="center"/>
      <protection hidden="1"/>
    </xf>
    <xf numFmtId="0" fontId="7" fillId="6" borderId="24" xfId="0" applyFont="1" applyFill="1" applyBorder="1" applyAlignment="1" applyProtection="1">
      <alignment horizontal="center"/>
      <protection hidden="1"/>
    </xf>
    <xf numFmtId="0" fontId="7" fillId="6" borderId="25" xfId="0" applyFont="1" applyFill="1" applyBorder="1" applyAlignment="1" applyProtection="1">
      <alignment horizontal="center"/>
      <protection hidden="1"/>
    </xf>
    <xf numFmtId="0" fontId="7" fillId="6" borderId="0" xfId="0" applyFont="1" applyFill="1" applyBorder="1" applyAlignment="1" applyProtection="1">
      <alignment horizontal="center"/>
      <protection hidden="1"/>
    </xf>
    <xf numFmtId="0" fontId="7" fillId="0" borderId="0" xfId="0" applyFont="1" applyFill="1" applyBorder="1" applyAlignment="1" applyProtection="1">
      <alignment horizontal="center"/>
      <protection hidden="1"/>
    </xf>
    <xf numFmtId="0" fontId="3" fillId="6" borderId="4" xfId="0" applyFont="1" applyFill="1" applyBorder="1" applyAlignment="1">
      <alignment horizontal="center"/>
    </xf>
    <xf numFmtId="2" fontId="0" fillId="7" borderId="4" xfId="0" applyNumberFormat="1" applyFill="1" applyBorder="1"/>
    <xf numFmtId="0" fontId="0" fillId="0" borderId="26" xfId="0" applyBorder="1" applyAlignment="1"/>
    <xf numFmtId="0" fontId="0" fillId="0" borderId="0" xfId="0" applyBorder="1" applyAlignment="1">
      <alignment horizontal="center"/>
    </xf>
    <xf numFmtId="2" fontId="0" fillId="0" borderId="0" xfId="0" applyNumberFormat="1"/>
    <xf numFmtId="1" fontId="9" fillId="0" borderId="0" xfId="0" applyNumberFormat="1" applyFont="1" applyFill="1" applyBorder="1" applyAlignment="1" applyProtection="1">
      <alignment horizontal="center"/>
      <protection locked="0"/>
    </xf>
    <xf numFmtId="0" fontId="0" fillId="0" borderId="0" xfId="0" applyFill="1" applyBorder="1"/>
    <xf numFmtId="0" fontId="0" fillId="0" borderId="27" xfId="0" applyFill="1" applyBorder="1" applyAlignment="1" applyProtection="1">
      <alignment horizontal="center" wrapText="1"/>
      <protection locked="0"/>
    </xf>
    <xf numFmtId="0" fontId="0" fillId="0" borderId="27" xfId="0" applyBorder="1" applyAlignment="1" applyProtection="1">
      <alignment horizontal="center" wrapText="1"/>
      <protection locked="0"/>
    </xf>
    <xf numFmtId="0" fontId="6" fillId="0" borderId="27" xfId="0" applyFont="1" applyBorder="1" applyAlignment="1" applyProtection="1">
      <alignment horizontal="center" wrapText="1"/>
      <protection locked="0"/>
    </xf>
    <xf numFmtId="0" fontId="6" fillId="0" borderId="27" xfId="0" applyFont="1" applyBorder="1" applyAlignment="1" applyProtection="1">
      <alignment horizontal="center" vertical="center" wrapText="1"/>
      <protection locked="0"/>
    </xf>
    <xf numFmtId="0" fontId="5" fillId="0" borderId="27" xfId="0" applyFont="1" applyBorder="1" applyAlignment="1" applyProtection="1">
      <alignment horizontal="center" wrapText="1"/>
      <protection locked="0"/>
    </xf>
    <xf numFmtId="0" fontId="5" fillId="0" borderId="27" xfId="0" applyFont="1" applyFill="1" applyBorder="1" applyAlignment="1" applyProtection="1">
      <alignment horizontal="center" vertical="center" wrapText="1"/>
      <protection locked="0"/>
    </xf>
    <xf numFmtId="0" fontId="5" fillId="0" borderId="27" xfId="0" applyNumberFormat="1" applyFont="1" applyFill="1" applyBorder="1" applyAlignment="1" applyProtection="1">
      <alignment horizontal="center" vertical="center" wrapText="1"/>
      <protection hidden="1"/>
    </xf>
    <xf numFmtId="0" fontId="0" fillId="0" borderId="27" xfId="0" applyNumberFormat="1" applyFill="1" applyBorder="1" applyAlignment="1" applyProtection="1">
      <alignment horizontal="center" wrapText="1"/>
      <protection locked="0"/>
    </xf>
    <xf numFmtId="0" fontId="10" fillId="0" borderId="27" xfId="0" applyFont="1" applyFill="1" applyBorder="1" applyAlignment="1" applyProtection="1">
      <alignment horizontal="center" wrapText="1"/>
      <protection locked="0"/>
    </xf>
    <xf numFmtId="0" fontId="11" fillId="0" borderId="27" xfId="0" applyFont="1" applyBorder="1" applyAlignment="1" applyProtection="1">
      <alignment horizontal="center" wrapText="1"/>
      <protection locked="0"/>
    </xf>
    <xf numFmtId="0" fontId="10" fillId="0" borderId="0" xfId="0" applyFont="1" applyFill="1" applyBorder="1" applyAlignment="1" applyProtection="1">
      <alignment horizontal="center" wrapText="1"/>
      <protection locked="0"/>
    </xf>
    <xf numFmtId="0" fontId="0" fillId="0" borderId="0" xfId="0" applyFill="1" applyBorder="1" applyAlignment="1">
      <alignment horizontal="center"/>
    </xf>
    <xf numFmtId="0" fontId="22" fillId="5" borderId="28" xfId="0" applyFont="1" applyFill="1" applyBorder="1" applyAlignment="1" applyProtection="1">
      <alignment horizontal="center"/>
      <protection locked="0"/>
    </xf>
    <xf numFmtId="165" fontId="22" fillId="5" borderId="13" xfId="0" applyNumberFormat="1" applyFont="1" applyFill="1" applyBorder="1" applyAlignment="1" applyProtection="1">
      <alignment horizontal="center"/>
      <protection hidden="1"/>
    </xf>
    <xf numFmtId="168" fontId="22" fillId="5" borderId="13" xfId="0" applyNumberFormat="1" applyFont="1" applyFill="1" applyBorder="1" applyAlignment="1" applyProtection="1">
      <alignment horizontal="center"/>
      <protection hidden="1"/>
    </xf>
    <xf numFmtId="1" fontId="22" fillId="5" borderId="13" xfId="1" applyNumberFormat="1" applyFont="1" applyFill="1" applyBorder="1" applyAlignment="1" applyProtection="1">
      <alignment horizontal="center"/>
      <protection hidden="1"/>
    </xf>
    <xf numFmtId="1" fontId="22" fillId="5" borderId="13" xfId="0" applyNumberFormat="1" applyFont="1" applyFill="1" applyBorder="1" applyAlignment="1" applyProtection="1">
      <alignment horizontal="center"/>
      <protection hidden="1"/>
    </xf>
    <xf numFmtId="2" fontId="22" fillId="5" borderId="13" xfId="0" applyNumberFormat="1" applyFont="1" applyFill="1" applyBorder="1" applyAlignment="1" applyProtection="1">
      <alignment horizontal="center"/>
      <protection hidden="1"/>
    </xf>
    <xf numFmtId="10" fontId="22" fillId="5" borderId="13" xfId="1" applyNumberFormat="1" applyFont="1" applyFill="1" applyBorder="1" applyAlignment="1" applyProtection="1">
      <alignment horizontal="center"/>
      <protection hidden="1"/>
    </xf>
    <xf numFmtId="2" fontId="22" fillId="5" borderId="29" xfId="0" applyNumberFormat="1" applyFont="1" applyFill="1" applyBorder="1" applyAlignment="1" applyProtection="1">
      <alignment horizontal="center"/>
      <protection hidden="1"/>
    </xf>
    <xf numFmtId="2" fontId="22" fillId="5" borderId="0" xfId="0" applyNumberFormat="1" applyFont="1" applyFill="1" applyBorder="1" applyAlignment="1" applyProtection="1">
      <alignment horizontal="center"/>
      <protection hidden="1"/>
    </xf>
    <xf numFmtId="2" fontId="22" fillId="0" borderId="0" xfId="0" applyNumberFormat="1" applyFont="1" applyFill="1" applyBorder="1" applyAlignment="1" applyProtection="1">
      <alignment horizontal="center"/>
      <protection hidden="1"/>
    </xf>
    <xf numFmtId="165" fontId="22" fillId="5" borderId="4" xfId="0" applyNumberFormat="1" applyFont="1" applyFill="1" applyBorder="1" applyAlignment="1" applyProtection="1">
      <alignment horizontal="center"/>
      <protection hidden="1"/>
    </xf>
    <xf numFmtId="10" fontId="22" fillId="5" borderId="4" xfId="0" applyNumberFormat="1" applyFont="1" applyFill="1" applyBorder="1" applyAlignment="1" applyProtection="1">
      <alignment horizontal="center"/>
      <protection hidden="1"/>
    </xf>
    <xf numFmtId="1" fontId="22" fillId="5" borderId="4" xfId="1" applyNumberFormat="1" applyFont="1" applyFill="1" applyBorder="1" applyAlignment="1" applyProtection="1">
      <alignment horizontal="center"/>
      <protection hidden="1"/>
    </xf>
    <xf numFmtId="2" fontId="22" fillId="5" borderId="4" xfId="0" applyNumberFormat="1" applyFont="1" applyFill="1" applyBorder="1" applyAlignment="1" applyProtection="1">
      <alignment horizontal="center"/>
      <protection hidden="1"/>
    </xf>
    <xf numFmtId="10" fontId="22" fillId="5" borderId="4" xfId="1" applyNumberFormat="1" applyFont="1" applyFill="1" applyBorder="1" applyAlignment="1" applyProtection="1">
      <alignment horizontal="center"/>
      <protection hidden="1"/>
    </xf>
    <xf numFmtId="169" fontId="22" fillId="5" borderId="4" xfId="0" applyNumberFormat="1" applyFont="1" applyFill="1" applyBorder="1" applyAlignment="1" applyProtection="1">
      <alignment horizontal="center"/>
      <protection hidden="1"/>
    </xf>
    <xf numFmtId="2" fontId="22" fillId="5" borderId="4" xfId="1" applyNumberFormat="1" applyFont="1" applyFill="1" applyBorder="1" applyAlignment="1" applyProtection="1">
      <alignment horizontal="center"/>
      <protection hidden="1"/>
    </xf>
    <xf numFmtId="2" fontId="22" fillId="5" borderId="16" xfId="0" applyNumberFormat="1" applyFont="1" applyFill="1" applyBorder="1" applyAlignment="1" applyProtection="1">
      <alignment horizontal="center"/>
      <protection hidden="1"/>
    </xf>
    <xf numFmtId="0" fontId="0" fillId="0" borderId="0" xfId="0" applyBorder="1"/>
    <xf numFmtId="1" fontId="22" fillId="5" borderId="4" xfId="0" applyNumberFormat="1" applyFont="1" applyFill="1" applyBorder="1" applyAlignment="1" applyProtection="1">
      <alignment horizontal="center"/>
      <protection hidden="1"/>
    </xf>
    <xf numFmtId="0" fontId="0" fillId="0" borderId="0" xfId="0" applyFill="1" applyBorder="1" applyAlignment="1" applyProtection="1">
      <alignment horizontal="center"/>
      <protection locked="0"/>
    </xf>
    <xf numFmtId="2" fontId="9" fillId="0" borderId="0" xfId="0" applyNumberFormat="1" applyFont="1" applyFill="1" applyBorder="1" applyAlignment="1" applyProtection="1">
      <alignment horizontal="center"/>
      <protection hidden="1"/>
    </xf>
    <xf numFmtId="2" fontId="6" fillId="0" borderId="0" xfId="0" applyNumberFormat="1" applyFont="1" applyFill="1" applyBorder="1" applyAlignment="1" applyProtection="1">
      <alignment horizontal="center"/>
      <protection hidden="1"/>
    </xf>
    <xf numFmtId="165" fontId="22" fillId="0" borderId="0" xfId="0" applyNumberFormat="1" applyFont="1" applyFill="1" applyBorder="1" applyAlignment="1" applyProtection="1">
      <alignment horizontal="center"/>
      <protection hidden="1"/>
    </xf>
    <xf numFmtId="10" fontId="9" fillId="0" borderId="0" xfId="1" applyNumberFormat="1" applyFont="1" applyFill="1" applyBorder="1" applyAlignment="1" applyProtection="1">
      <alignment horizontal="center"/>
      <protection hidden="1"/>
    </xf>
    <xf numFmtId="0" fontId="23" fillId="5" borderId="30" xfId="0" applyFont="1" applyFill="1" applyBorder="1"/>
    <xf numFmtId="16" fontId="24" fillId="5" borderId="31" xfId="0" applyNumberFormat="1" applyFont="1" applyFill="1" applyBorder="1" applyAlignment="1" applyProtection="1">
      <alignment horizontal="center"/>
      <protection hidden="1"/>
    </xf>
    <xf numFmtId="15" fontId="9" fillId="10" borderId="4" xfId="0" applyNumberFormat="1" applyFont="1" applyFill="1" applyBorder="1" applyAlignment="1" applyProtection="1">
      <alignment horizontal="center"/>
      <protection hidden="1"/>
    </xf>
    <xf numFmtId="166" fontId="9" fillId="10" borderId="4" xfId="0" applyNumberFormat="1" applyFont="1" applyFill="1" applyBorder="1" applyAlignment="1">
      <alignment horizontal="center"/>
    </xf>
    <xf numFmtId="166" fontId="0" fillId="10" borderId="4" xfId="0" applyNumberFormat="1" applyFill="1" applyBorder="1" applyAlignment="1">
      <alignment horizontal="center"/>
    </xf>
    <xf numFmtId="165" fontId="9" fillId="10" borderId="4" xfId="0" applyNumberFormat="1" applyFont="1" applyFill="1" applyBorder="1" applyAlignment="1" applyProtection="1">
      <alignment horizontal="center"/>
      <protection locked="0"/>
    </xf>
    <xf numFmtId="168" fontId="9" fillId="10" borderId="12" xfId="0" applyNumberFormat="1" applyFont="1" applyFill="1" applyBorder="1" applyAlignment="1" applyProtection="1">
      <alignment horizontal="center"/>
      <protection hidden="1"/>
    </xf>
    <xf numFmtId="1" fontId="9" fillId="10" borderId="4" xfId="0" applyNumberFormat="1" applyFont="1" applyFill="1" applyBorder="1" applyAlignment="1" applyProtection="1">
      <alignment horizontal="center"/>
      <protection locked="0"/>
    </xf>
    <xf numFmtId="1" fontId="9" fillId="10" borderId="13" xfId="0" applyNumberFormat="1" applyFont="1" applyFill="1" applyBorder="1" applyAlignment="1" applyProtection="1">
      <alignment horizontal="center"/>
      <protection locked="0"/>
    </xf>
    <xf numFmtId="1" fontId="13" fillId="10" borderId="17" xfId="0" applyNumberFormat="1" applyFont="1" applyFill="1" applyBorder="1" applyAlignment="1" applyProtection="1">
      <alignment horizontal="center"/>
      <protection locked="0"/>
    </xf>
    <xf numFmtId="1" fontId="9" fillId="10" borderId="12" xfId="0" applyNumberFormat="1" applyFont="1" applyFill="1" applyBorder="1" applyAlignment="1" applyProtection="1">
      <alignment horizontal="center"/>
      <protection locked="0"/>
    </xf>
    <xf numFmtId="1" fontId="14" fillId="10" borderId="4" xfId="0" applyNumberFormat="1" applyFont="1" applyFill="1" applyBorder="1" applyAlignment="1" applyProtection="1">
      <alignment horizontal="center"/>
      <protection locked="0"/>
    </xf>
    <xf numFmtId="1" fontId="15" fillId="10" borderId="4" xfId="0" applyNumberFormat="1" applyFont="1" applyFill="1" applyBorder="1" applyAlignment="1" applyProtection="1">
      <alignment horizontal="center"/>
      <protection locked="0"/>
    </xf>
    <xf numFmtId="1" fontId="16" fillId="10" borderId="4" xfId="0" applyNumberFormat="1" applyFont="1" applyFill="1" applyBorder="1" applyAlignment="1" applyProtection="1">
      <alignment horizontal="center"/>
      <protection locked="0"/>
    </xf>
    <xf numFmtId="1" fontId="14" fillId="10" borderId="13" xfId="0" applyNumberFormat="1" applyFont="1" applyFill="1" applyBorder="1" applyAlignment="1" applyProtection="1">
      <alignment horizontal="center"/>
      <protection locked="0"/>
    </xf>
    <xf numFmtId="10" fontId="14" fillId="10" borderId="4" xfId="0" applyNumberFormat="1" applyFont="1" applyFill="1" applyBorder="1" applyAlignment="1" applyProtection="1">
      <alignment horizontal="center"/>
      <protection hidden="1"/>
    </xf>
    <xf numFmtId="2" fontId="14" fillId="10" borderId="4" xfId="0" applyNumberFormat="1" applyFont="1" applyFill="1" applyBorder="1" applyAlignment="1" applyProtection="1">
      <alignment horizontal="center"/>
      <protection hidden="1"/>
    </xf>
    <xf numFmtId="10" fontId="9" fillId="10" borderId="4" xfId="0" applyNumberFormat="1" applyFont="1" applyFill="1" applyBorder="1" applyAlignment="1" applyProtection="1">
      <alignment horizontal="center"/>
      <protection hidden="1"/>
    </xf>
    <xf numFmtId="10" fontId="14" fillId="10" borderId="13" xfId="0" applyNumberFormat="1" applyFont="1" applyFill="1" applyBorder="1" applyAlignment="1" applyProtection="1">
      <alignment horizontal="center"/>
      <protection hidden="1"/>
    </xf>
    <xf numFmtId="2" fontId="9" fillId="10" borderId="4" xfId="0" applyNumberFormat="1" applyFont="1" applyFill="1" applyBorder="1" applyAlignment="1" applyProtection="1">
      <alignment horizontal="center"/>
      <protection locked="0"/>
    </xf>
    <xf numFmtId="2" fontId="9" fillId="10" borderId="15" xfId="0" applyNumberFormat="1" applyFont="1" applyFill="1" applyBorder="1" applyAlignment="1" applyProtection="1">
      <alignment horizontal="center"/>
      <protection locked="0"/>
    </xf>
    <xf numFmtId="1" fontId="18" fillId="10" borderId="4" xfId="0" applyNumberFormat="1" applyFont="1" applyFill="1" applyBorder="1" applyAlignment="1" applyProtection="1">
      <alignment horizontal="center"/>
      <protection hidden="1"/>
    </xf>
    <xf numFmtId="0" fontId="9" fillId="10" borderId="4" xfId="0" applyFont="1" applyFill="1" applyBorder="1" applyAlignment="1" applyProtection="1">
      <alignment horizontal="center"/>
      <protection locked="0"/>
    </xf>
    <xf numFmtId="0" fontId="0" fillId="10" borderId="4" xfId="0" applyFill="1" applyBorder="1" applyAlignment="1">
      <alignment horizontal="center"/>
    </xf>
    <xf numFmtId="2" fontId="9" fillId="10" borderId="4" xfId="0" applyNumberFormat="1" applyFont="1" applyFill="1" applyBorder="1" applyAlignment="1" applyProtection="1">
      <alignment horizontal="center"/>
      <protection hidden="1"/>
    </xf>
    <xf numFmtId="2" fontId="0" fillId="10" borderId="4" xfId="0" applyNumberFormat="1" applyFill="1" applyBorder="1" applyAlignment="1">
      <alignment horizontal="center"/>
    </xf>
    <xf numFmtId="166" fontId="0" fillId="10" borderId="2" xfId="0" applyNumberFormat="1" applyFill="1" applyBorder="1" applyAlignment="1">
      <alignment horizontal="center"/>
    </xf>
    <xf numFmtId="0" fontId="0" fillId="10" borderId="4" xfId="0" quotePrefix="1" applyFill="1" applyBorder="1" applyAlignment="1">
      <alignment horizontal="center"/>
    </xf>
    <xf numFmtId="167" fontId="0" fillId="10" borderId="4" xfId="0" applyNumberFormat="1" applyFill="1" applyBorder="1" applyAlignment="1">
      <alignment horizontal="center"/>
    </xf>
    <xf numFmtId="2" fontId="9" fillId="10" borderId="4" xfId="0" applyNumberFormat="1" applyFont="1" applyFill="1" applyBorder="1" applyAlignment="1">
      <alignment horizontal="center"/>
    </xf>
    <xf numFmtId="1" fontId="9" fillId="10" borderId="4" xfId="0" applyNumberFormat="1" applyFont="1" applyFill="1" applyBorder="1" applyAlignment="1" applyProtection="1">
      <alignment horizontal="center"/>
      <protection hidden="1"/>
    </xf>
    <xf numFmtId="1" fontId="9" fillId="10" borderId="18" xfId="0" applyNumberFormat="1" applyFont="1" applyFill="1" applyBorder="1" applyAlignment="1" applyProtection="1">
      <alignment horizontal="center"/>
      <protection locked="0"/>
    </xf>
    <xf numFmtId="1" fontId="0" fillId="10" borderId="4" xfId="0" applyNumberFormat="1" applyFill="1" applyBorder="1" applyAlignment="1">
      <alignment horizontal="center"/>
    </xf>
    <xf numFmtId="167" fontId="0" fillId="10" borderId="4" xfId="0" quotePrefix="1" applyNumberFormat="1" applyFill="1" applyBorder="1" applyAlignment="1">
      <alignment horizontal="center"/>
    </xf>
    <xf numFmtId="2" fontId="0" fillId="10" borderId="4" xfId="0" quotePrefix="1" applyNumberFormat="1" applyFill="1" applyBorder="1" applyAlignment="1">
      <alignment horizontal="center"/>
    </xf>
    <xf numFmtId="1" fontId="13" fillId="10" borderId="4" xfId="0" applyNumberFormat="1" applyFont="1" applyFill="1" applyBorder="1" applyAlignment="1" applyProtection="1">
      <alignment horizontal="center"/>
      <protection locked="0"/>
    </xf>
    <xf numFmtId="1" fontId="13" fillId="10" borderId="13" xfId="0" applyNumberFormat="1" applyFont="1" applyFill="1" applyBorder="1" applyAlignment="1" applyProtection="1">
      <alignment horizontal="center"/>
      <protection locked="0"/>
    </xf>
    <xf numFmtId="1" fontId="13" fillId="10" borderId="12" xfId="0" applyNumberFormat="1" applyFont="1" applyFill="1" applyBorder="1" applyAlignment="1" applyProtection="1">
      <alignment horizontal="center"/>
      <protection locked="0"/>
    </xf>
    <xf numFmtId="1" fontId="19" fillId="10" borderId="4" xfId="0" applyNumberFormat="1" applyFont="1" applyFill="1" applyBorder="1" applyAlignment="1" applyProtection="1">
      <alignment horizontal="center"/>
      <protection locked="0"/>
    </xf>
    <xf numFmtId="166" fontId="9" fillId="10" borderId="2" xfId="0" applyNumberFormat="1" applyFont="1" applyFill="1" applyBorder="1" applyAlignment="1">
      <alignment horizontal="center"/>
    </xf>
    <xf numFmtId="0" fontId="9" fillId="10" borderId="4" xfId="0" applyFont="1" applyFill="1" applyBorder="1" applyAlignment="1">
      <alignment horizontal="center"/>
    </xf>
    <xf numFmtId="167" fontId="9" fillId="10" borderId="4" xfId="0" applyNumberFormat="1" applyFont="1" applyFill="1" applyBorder="1" applyAlignment="1">
      <alignment horizontal="center"/>
    </xf>
    <xf numFmtId="0" fontId="9" fillId="10" borderId="4" xfId="0" quotePrefix="1" applyFont="1" applyFill="1" applyBorder="1" applyAlignment="1">
      <alignment horizontal="center"/>
    </xf>
    <xf numFmtId="165" fontId="9" fillId="10" borderId="4" xfId="0" applyNumberFormat="1" applyFont="1" applyFill="1" applyBorder="1" applyAlignment="1">
      <alignment horizontal="center"/>
    </xf>
    <xf numFmtId="165" fontId="25" fillId="6" borderId="13" xfId="0" applyNumberFormat="1" applyFont="1" applyFill="1" applyBorder="1" applyAlignment="1" applyProtection="1">
      <alignment horizontal="center"/>
      <protection hidden="1"/>
    </xf>
    <xf numFmtId="10" fontId="9" fillId="10" borderId="12" xfId="0" applyNumberFormat="1" applyFont="1" applyFill="1" applyBorder="1" applyAlignment="1" applyProtection="1">
      <alignment horizontal="center"/>
      <protection hidden="1"/>
    </xf>
    <xf numFmtId="165" fontId="0" fillId="4" borderId="2" xfId="0" applyNumberFormat="1" applyFill="1" applyBorder="1" applyAlignment="1">
      <alignment horizontal="center"/>
    </xf>
    <xf numFmtId="165" fontId="0" fillId="10" borderId="2" xfId="0" applyNumberFormat="1" applyFill="1" applyBorder="1" applyAlignment="1">
      <alignment horizontal="center"/>
    </xf>
    <xf numFmtId="2" fontId="17" fillId="4" borderId="41" xfId="0" applyNumberFormat="1" applyFont="1" applyFill="1" applyBorder="1" applyAlignment="1" applyProtection="1">
      <alignment horizontal="center"/>
      <protection hidden="1"/>
    </xf>
    <xf numFmtId="2" fontId="17" fillId="4" borderId="4" xfId="0" applyNumberFormat="1" applyFont="1" applyFill="1" applyBorder="1" applyAlignment="1" applyProtection="1">
      <alignment horizontal="center"/>
      <protection hidden="1"/>
    </xf>
    <xf numFmtId="2" fontId="17" fillId="10" borderId="4" xfId="0" applyNumberFormat="1" applyFont="1" applyFill="1" applyBorder="1" applyAlignment="1" applyProtection="1">
      <alignment horizontal="center"/>
      <protection hidden="1"/>
    </xf>
    <xf numFmtId="2" fontId="14" fillId="4" borderId="4" xfId="0" applyNumberFormat="1" applyFont="1" applyFill="1" applyBorder="1" applyAlignment="1" applyProtection="1">
      <alignment horizontal="center"/>
      <protection locked="0"/>
    </xf>
    <xf numFmtId="0" fontId="26" fillId="4" borderId="4" xfId="0" applyNumberFormat="1" applyFont="1" applyFill="1" applyBorder="1" applyAlignment="1">
      <alignment horizontal="center"/>
    </xf>
    <xf numFmtId="1" fontId="26" fillId="4" borderId="4" xfId="0" applyNumberFormat="1" applyFont="1" applyFill="1" applyBorder="1" applyAlignment="1">
      <alignment horizontal="center"/>
    </xf>
    <xf numFmtId="2" fontId="26" fillId="0" borderId="0" xfId="0" applyNumberFormat="1" applyFont="1" applyFill="1" applyAlignment="1">
      <alignment horizontal="center"/>
    </xf>
    <xf numFmtId="0" fontId="26" fillId="4" borderId="4" xfId="0" applyFont="1" applyFill="1" applyBorder="1" applyAlignment="1">
      <alignment horizontal="center"/>
    </xf>
    <xf numFmtId="2" fontId="26" fillId="4" borderId="4" xfId="0" applyNumberFormat="1" applyFont="1" applyFill="1" applyBorder="1" applyAlignment="1">
      <alignment horizontal="center"/>
    </xf>
    <xf numFmtId="0" fontId="26" fillId="0" borderId="0" xfId="0" applyFont="1"/>
    <xf numFmtId="0" fontId="27" fillId="12" borderId="4" xfId="0" applyFont="1" applyFill="1" applyBorder="1" applyAlignment="1">
      <alignment vertical="center" wrapText="1"/>
    </xf>
    <xf numFmtId="0" fontId="27" fillId="13" borderId="4" xfId="0" applyFont="1" applyFill="1" applyBorder="1" applyAlignment="1">
      <alignment vertical="center" wrapText="1"/>
    </xf>
    <xf numFmtId="0" fontId="27" fillId="12" borderId="4" xfId="0" applyFont="1" applyFill="1" applyBorder="1" applyAlignment="1">
      <alignment horizontal="center" vertical="center" wrapText="1"/>
    </xf>
    <xf numFmtId="0" fontId="0" fillId="13" borderId="4" xfId="0" applyFill="1" applyBorder="1" applyAlignment="1">
      <alignment horizontal="center"/>
    </xf>
    <xf numFmtId="0" fontId="0" fillId="0" borderId="6" xfId="0" applyBorder="1" applyAlignment="1" applyProtection="1">
      <alignment horizontal="center" wrapText="1"/>
      <protection locked="0"/>
    </xf>
    <xf numFmtId="166" fontId="3" fillId="4" borderId="4" xfId="0" applyNumberFormat="1" applyFont="1" applyFill="1" applyBorder="1" applyAlignment="1">
      <alignment horizontal="center"/>
    </xf>
    <xf numFmtId="2" fontId="3" fillId="4" borderId="12" xfId="0" applyNumberFormat="1" applyFont="1" applyFill="1" applyBorder="1" applyAlignment="1" applyProtection="1">
      <alignment horizontal="center"/>
      <protection locked="0"/>
    </xf>
    <xf numFmtId="1" fontId="3" fillId="4" borderId="4" xfId="0" applyNumberFormat="1" applyFont="1" applyFill="1" applyBorder="1" applyAlignment="1" applyProtection="1">
      <alignment horizontal="center"/>
      <protection locked="0"/>
    </xf>
    <xf numFmtId="0" fontId="3" fillId="3" borderId="8" xfId="0" applyFont="1" applyFill="1" applyBorder="1" applyAlignment="1" applyProtection="1">
      <alignment horizontal="center" vertical="top" wrapText="1"/>
      <protection locked="0"/>
    </xf>
    <xf numFmtId="0" fontId="3" fillId="3" borderId="10" xfId="0" applyFont="1" applyFill="1" applyBorder="1" applyAlignment="1" applyProtection="1">
      <alignment horizontal="center" vertical="top" wrapText="1"/>
      <protection locked="0"/>
    </xf>
    <xf numFmtId="0" fontId="0" fillId="0" borderId="6" xfId="0" applyBorder="1" applyAlignment="1" applyProtection="1">
      <alignment horizontal="center" wrapText="1"/>
      <protection locked="0"/>
    </xf>
    <xf numFmtId="1" fontId="16" fillId="14" borderId="4" xfId="0" applyNumberFormat="1" applyFont="1" applyFill="1" applyBorder="1" applyAlignment="1" applyProtection="1">
      <alignment horizontal="center"/>
      <protection locked="0"/>
    </xf>
    <xf numFmtId="1" fontId="14" fillId="14" borderId="13" xfId="0" applyNumberFormat="1" applyFont="1" applyFill="1" applyBorder="1" applyAlignment="1" applyProtection="1">
      <alignment horizontal="center"/>
      <protection locked="0"/>
    </xf>
    <xf numFmtId="1" fontId="9" fillId="14" borderId="4" xfId="0" applyNumberFormat="1" applyFont="1" applyFill="1" applyBorder="1" applyAlignment="1" applyProtection="1">
      <alignment horizontal="center"/>
      <protection locked="0"/>
    </xf>
    <xf numFmtId="10" fontId="14" fillId="14" borderId="4" xfId="0" applyNumberFormat="1" applyFont="1" applyFill="1" applyBorder="1" applyAlignment="1" applyProtection="1">
      <alignment horizontal="center"/>
      <protection hidden="1"/>
    </xf>
    <xf numFmtId="2" fontId="14" fillId="14" borderId="4" xfId="0" applyNumberFormat="1" applyFont="1" applyFill="1" applyBorder="1" applyAlignment="1" applyProtection="1">
      <alignment horizontal="center"/>
      <protection hidden="1"/>
    </xf>
    <xf numFmtId="10" fontId="9" fillId="14" borderId="4" xfId="0" applyNumberFormat="1" applyFont="1" applyFill="1" applyBorder="1" applyAlignment="1" applyProtection="1">
      <alignment horizontal="center"/>
      <protection hidden="1"/>
    </xf>
    <xf numFmtId="10" fontId="14" fillId="14" borderId="13" xfId="0" applyNumberFormat="1" applyFont="1" applyFill="1" applyBorder="1" applyAlignment="1" applyProtection="1">
      <alignment horizontal="center"/>
      <protection hidden="1"/>
    </xf>
    <xf numFmtId="2" fontId="17" fillId="14" borderId="4" xfId="0" applyNumberFormat="1" applyFont="1" applyFill="1" applyBorder="1" applyAlignment="1" applyProtection="1">
      <alignment horizontal="center"/>
      <protection hidden="1"/>
    </xf>
    <xf numFmtId="165" fontId="0" fillId="14" borderId="2" xfId="0" applyNumberFormat="1" applyFill="1" applyBorder="1" applyAlignment="1">
      <alignment horizontal="center"/>
    </xf>
    <xf numFmtId="2" fontId="3" fillId="4" borderId="4" xfId="0" applyNumberFormat="1" applyFont="1" applyFill="1" applyBorder="1" applyAlignment="1">
      <alignment horizontal="center"/>
    </xf>
    <xf numFmtId="1" fontId="28" fillId="4" borderId="13" xfId="0" applyNumberFormat="1" applyFont="1" applyFill="1" applyBorder="1" applyAlignment="1" applyProtection="1">
      <alignment horizontal="center"/>
      <protection locked="0"/>
    </xf>
    <xf numFmtId="1" fontId="28" fillId="4" borderId="4" xfId="0" applyNumberFormat="1" applyFont="1" applyFill="1" applyBorder="1" applyAlignment="1" applyProtection="1">
      <alignment horizontal="center"/>
      <protection locked="0"/>
    </xf>
    <xf numFmtId="1" fontId="28" fillId="14" borderId="4" xfId="0" applyNumberFormat="1" applyFont="1" applyFill="1" applyBorder="1" applyAlignment="1" applyProtection="1">
      <alignment horizontal="center"/>
      <protection locked="0"/>
    </xf>
    <xf numFmtId="166" fontId="28" fillId="4" borderId="13" xfId="0" applyNumberFormat="1" applyFont="1" applyFill="1" applyBorder="1" applyAlignment="1">
      <alignment horizontal="center"/>
    </xf>
    <xf numFmtId="166" fontId="28" fillId="4" borderId="4" xfId="0" applyNumberFormat="1" applyFont="1" applyFill="1" applyBorder="1" applyAlignment="1">
      <alignment horizontal="center"/>
    </xf>
    <xf numFmtId="166" fontId="28" fillId="14" borderId="4" xfId="0" applyNumberFormat="1" applyFont="1" applyFill="1" applyBorder="1" applyAlignment="1">
      <alignment horizontal="center"/>
    </xf>
    <xf numFmtId="2" fontId="28" fillId="4" borderId="14" xfId="0" applyNumberFormat="1" applyFont="1" applyFill="1" applyBorder="1" applyAlignment="1" applyProtection="1">
      <alignment horizontal="center"/>
      <protection locked="0"/>
    </xf>
    <xf numFmtId="2" fontId="28" fillId="4" borderId="2" xfId="0" applyNumberFormat="1" applyFont="1" applyFill="1" applyBorder="1" applyAlignment="1" applyProtection="1">
      <alignment horizontal="center"/>
      <protection locked="0"/>
    </xf>
    <xf numFmtId="2" fontId="28" fillId="4" borderId="12" xfId="0" applyNumberFormat="1" applyFont="1" applyFill="1" applyBorder="1" applyAlignment="1" applyProtection="1">
      <alignment horizontal="center"/>
      <protection locked="0"/>
    </xf>
    <xf numFmtId="2" fontId="28" fillId="14" borderId="12" xfId="0" applyNumberFormat="1" applyFont="1" applyFill="1" applyBorder="1" applyAlignment="1" applyProtection="1">
      <alignment horizontal="center"/>
      <protection locked="0"/>
    </xf>
    <xf numFmtId="2" fontId="28" fillId="4" borderId="4" xfId="0" applyNumberFormat="1" applyFont="1" applyFill="1" applyBorder="1" applyAlignment="1">
      <alignment horizontal="center"/>
    </xf>
    <xf numFmtId="0" fontId="0" fillId="14" borderId="4" xfId="0" applyFill="1" applyBorder="1" applyAlignment="1">
      <alignment horizontal="center"/>
    </xf>
    <xf numFmtId="165" fontId="0" fillId="14" borderId="4" xfId="0" applyNumberFormat="1" applyFill="1" applyBorder="1" applyAlignment="1">
      <alignment horizontal="center"/>
    </xf>
    <xf numFmtId="0" fontId="3" fillId="3" borderId="8" xfId="0" applyFont="1" applyFill="1" applyBorder="1" applyAlignment="1" applyProtection="1">
      <alignment horizontal="center" vertical="top" wrapText="1"/>
      <protection locked="0"/>
    </xf>
    <xf numFmtId="0" fontId="3" fillId="3" borderId="10" xfId="0" applyFont="1" applyFill="1" applyBorder="1" applyAlignment="1" applyProtection="1">
      <alignment horizontal="center" vertical="top" wrapText="1"/>
      <protection locked="0"/>
    </xf>
    <xf numFmtId="0" fontId="0" fillId="0" borderId="6" xfId="0" applyBorder="1" applyAlignment="1" applyProtection="1">
      <alignment horizontal="center" wrapText="1"/>
      <protection locked="0"/>
    </xf>
    <xf numFmtId="165" fontId="0" fillId="0" borderId="26" xfId="0" applyNumberFormat="1" applyBorder="1" applyAlignment="1"/>
    <xf numFmtId="166" fontId="0" fillId="0" borderId="0" xfId="0" applyNumberFormat="1"/>
    <xf numFmtId="0" fontId="0" fillId="14" borderId="0" xfId="0" applyFill="1" applyAlignment="1">
      <alignment horizontal="center" vertical="center"/>
    </xf>
    <xf numFmtId="165" fontId="3" fillId="4" borderId="4" xfId="0" applyNumberFormat="1" applyFont="1" applyFill="1" applyBorder="1" applyAlignment="1" applyProtection="1">
      <alignment horizontal="center"/>
      <protection locked="0"/>
    </xf>
    <xf numFmtId="1" fontId="9" fillId="4" borderId="12" xfId="0" applyNumberFormat="1" applyFont="1" applyFill="1" applyBorder="1" applyAlignment="1" applyProtection="1">
      <alignment horizontal="center"/>
      <protection hidden="1"/>
    </xf>
    <xf numFmtId="0" fontId="9" fillId="4" borderId="12" xfId="0" applyNumberFormat="1" applyFont="1" applyFill="1" applyBorder="1" applyAlignment="1" applyProtection="1">
      <alignment horizontal="center"/>
      <protection hidden="1"/>
    </xf>
    <xf numFmtId="0" fontId="9" fillId="4" borderId="4" xfId="0" applyNumberFormat="1" applyFont="1" applyFill="1" applyBorder="1" applyAlignment="1" applyProtection="1">
      <alignment horizontal="center"/>
      <protection locked="0"/>
    </xf>
    <xf numFmtId="1" fontId="26" fillId="4" borderId="4" xfId="0" applyNumberFormat="1" applyFont="1" applyFill="1" applyBorder="1" applyAlignment="1" applyProtection="1">
      <alignment horizontal="center"/>
      <protection locked="0"/>
    </xf>
    <xf numFmtId="166" fontId="29" fillId="14" borderId="4" xfId="0" applyNumberFormat="1" applyFont="1" applyFill="1" applyBorder="1" applyAlignment="1">
      <alignment horizontal="center"/>
    </xf>
    <xf numFmtId="2" fontId="29" fillId="14" borderId="12" xfId="0" applyNumberFormat="1" applyFont="1" applyFill="1" applyBorder="1" applyAlignment="1" applyProtection="1">
      <alignment horizontal="center"/>
      <protection locked="0"/>
    </xf>
    <xf numFmtId="0" fontId="9" fillId="10" borderId="12" xfId="0" applyNumberFormat="1" applyFont="1" applyFill="1" applyBorder="1" applyAlignment="1" applyProtection="1">
      <alignment horizontal="center"/>
      <protection hidden="1"/>
    </xf>
    <xf numFmtId="0" fontId="13" fillId="10" borderId="13" xfId="0" applyNumberFormat="1" applyFont="1" applyFill="1" applyBorder="1" applyAlignment="1" applyProtection="1">
      <alignment horizontal="center"/>
      <protection locked="0"/>
    </xf>
    <xf numFmtId="1" fontId="9" fillId="10" borderId="12" xfId="0" applyNumberFormat="1" applyFont="1" applyFill="1" applyBorder="1" applyAlignment="1" applyProtection="1">
      <alignment horizontal="center"/>
      <protection hidden="1"/>
    </xf>
    <xf numFmtId="2" fontId="9" fillId="10" borderId="18" xfId="0" applyNumberFormat="1" applyFont="1" applyFill="1" applyBorder="1" applyAlignment="1">
      <alignment horizontal="center"/>
    </xf>
    <xf numFmtId="0" fontId="13" fillId="4" borderId="4" xfId="0" applyNumberFormat="1" applyFont="1" applyFill="1" applyBorder="1" applyAlignment="1" applyProtection="1">
      <alignment horizontal="center"/>
      <protection locked="0"/>
    </xf>
    <xf numFmtId="0" fontId="9" fillId="10" borderId="4" xfId="0" applyNumberFormat="1" applyFont="1" applyFill="1" applyBorder="1" applyAlignment="1" applyProtection="1">
      <alignment horizontal="center"/>
      <protection locked="0"/>
    </xf>
    <xf numFmtId="0" fontId="9" fillId="10" borderId="13" xfId="0" applyNumberFormat="1" applyFont="1" applyFill="1" applyBorder="1" applyAlignment="1" applyProtection="1">
      <alignment horizontal="center"/>
      <protection locked="0"/>
    </xf>
    <xf numFmtId="0" fontId="14" fillId="4" borderId="4" xfId="0" applyNumberFormat="1" applyFont="1" applyFill="1" applyBorder="1" applyAlignment="1" applyProtection="1">
      <alignment horizontal="center"/>
      <protection locked="0"/>
    </xf>
    <xf numFmtId="0" fontId="15" fillId="4" borderId="4" xfId="0" applyNumberFormat="1" applyFont="1" applyFill="1" applyBorder="1" applyAlignment="1" applyProtection="1">
      <alignment horizontal="center"/>
      <protection locked="0"/>
    </xf>
    <xf numFmtId="0" fontId="26" fillId="14" borderId="4" xfId="0" applyFont="1" applyFill="1" applyBorder="1" applyAlignment="1">
      <alignment horizontal="center"/>
    </xf>
    <xf numFmtId="0" fontId="26" fillId="14" borderId="4" xfId="0" applyNumberFormat="1" applyFont="1" applyFill="1" applyBorder="1" applyAlignment="1">
      <alignment horizontal="center"/>
    </xf>
    <xf numFmtId="2" fontId="26" fillId="14" borderId="4" xfId="0" applyNumberFormat="1" applyFont="1" applyFill="1" applyBorder="1" applyAlignment="1">
      <alignment horizontal="center"/>
    </xf>
    <xf numFmtId="0" fontId="30" fillId="14" borderId="4" xfId="0" applyFont="1" applyFill="1" applyBorder="1" applyAlignment="1">
      <alignment horizontal="center"/>
    </xf>
    <xf numFmtId="0" fontId="9" fillId="4" borderId="13" xfId="0" applyNumberFormat="1" applyFont="1" applyFill="1" applyBorder="1" applyAlignment="1" applyProtection="1">
      <alignment horizontal="center"/>
      <protection locked="0"/>
    </xf>
    <xf numFmtId="166" fontId="29" fillId="4" borderId="4" xfId="0" applyNumberFormat="1" applyFont="1" applyFill="1" applyBorder="1" applyAlignment="1">
      <alignment horizontal="center"/>
    </xf>
    <xf numFmtId="2" fontId="29" fillId="4" borderId="12" xfId="0" applyNumberFormat="1" applyFont="1" applyFill="1" applyBorder="1" applyAlignment="1" applyProtection="1">
      <alignment horizontal="center"/>
      <protection locked="0"/>
    </xf>
    <xf numFmtId="166" fontId="29" fillId="15" borderId="4" xfId="0" applyNumberFormat="1" applyFont="1" applyFill="1" applyBorder="1" applyAlignment="1">
      <alignment horizontal="center"/>
    </xf>
    <xf numFmtId="2" fontId="29" fillId="15" borderId="12" xfId="0" applyNumberFormat="1" applyFont="1" applyFill="1" applyBorder="1" applyAlignment="1" applyProtection="1">
      <alignment horizontal="center"/>
      <protection locked="0"/>
    </xf>
    <xf numFmtId="2" fontId="9" fillId="15" borderId="4" xfId="0" applyNumberFormat="1" applyFont="1" applyFill="1" applyBorder="1" applyAlignment="1" applyProtection="1">
      <alignment horizontal="center"/>
      <protection locked="0"/>
    </xf>
    <xf numFmtId="165" fontId="29" fillId="15" borderId="4" xfId="0" applyNumberFormat="1" applyFont="1" applyFill="1" applyBorder="1" applyAlignment="1" applyProtection="1">
      <alignment horizontal="center"/>
      <protection locked="0"/>
    </xf>
    <xf numFmtId="0" fontId="0" fillId="0" borderId="6" xfId="0" applyBorder="1" applyAlignment="1" applyProtection="1">
      <alignment horizontal="center" wrapText="1"/>
      <protection locked="0"/>
    </xf>
    <xf numFmtId="0" fontId="3" fillId="3" borderId="8" xfId="0" applyFont="1" applyFill="1" applyBorder="1" applyAlignment="1" applyProtection="1">
      <alignment horizontal="center" vertical="top" wrapText="1"/>
      <protection locked="0"/>
    </xf>
    <xf numFmtId="0" fontId="3" fillId="3" borderId="10" xfId="0" applyFont="1" applyFill="1" applyBorder="1" applyAlignment="1" applyProtection="1">
      <alignment horizontal="center" vertical="top" wrapText="1"/>
      <protection locked="0"/>
    </xf>
    <xf numFmtId="165" fontId="9" fillId="14" borderId="4" xfId="0" applyNumberFormat="1" applyFont="1" applyFill="1" applyBorder="1" applyAlignment="1" applyProtection="1">
      <alignment horizontal="center"/>
      <protection locked="0"/>
    </xf>
    <xf numFmtId="10" fontId="9" fillId="14" borderId="12" xfId="0" applyNumberFormat="1" applyFont="1" applyFill="1" applyBorder="1" applyAlignment="1" applyProtection="1">
      <alignment horizontal="center"/>
      <protection hidden="1"/>
    </xf>
    <xf numFmtId="2" fontId="9" fillId="14" borderId="4" xfId="0" applyNumberFormat="1" applyFont="1" applyFill="1" applyBorder="1" applyAlignment="1" applyProtection="1">
      <alignment horizontal="center"/>
      <protection locked="0"/>
    </xf>
    <xf numFmtId="1" fontId="9" fillId="14" borderId="13" xfId="0" applyNumberFormat="1" applyFont="1" applyFill="1" applyBorder="1" applyAlignment="1" applyProtection="1">
      <alignment horizontal="center"/>
      <protection locked="0"/>
    </xf>
    <xf numFmtId="1" fontId="13" fillId="14" borderId="4" xfId="0" applyNumberFormat="1" applyFont="1" applyFill="1" applyBorder="1" applyAlignment="1" applyProtection="1">
      <alignment horizontal="center"/>
      <protection locked="0"/>
    </xf>
    <xf numFmtId="0" fontId="9" fillId="14" borderId="12" xfId="0" applyNumberFormat="1" applyFont="1" applyFill="1" applyBorder="1" applyAlignment="1" applyProtection="1">
      <alignment horizontal="center"/>
      <protection hidden="1"/>
    </xf>
    <xf numFmtId="0" fontId="9" fillId="14" borderId="4" xfId="0" applyNumberFormat="1" applyFont="1" applyFill="1" applyBorder="1" applyAlignment="1" applyProtection="1">
      <alignment horizontal="center"/>
      <protection locked="0"/>
    </xf>
    <xf numFmtId="0" fontId="9" fillId="14" borderId="13" xfId="0" applyNumberFormat="1" applyFont="1" applyFill="1" applyBorder="1" applyAlignment="1" applyProtection="1">
      <alignment horizontal="center"/>
      <protection locked="0"/>
    </xf>
    <xf numFmtId="1" fontId="13" fillId="14" borderId="13" xfId="0" applyNumberFormat="1" applyFont="1" applyFill="1" applyBorder="1" applyAlignment="1" applyProtection="1">
      <alignment horizontal="center"/>
      <protection locked="0"/>
    </xf>
    <xf numFmtId="165" fontId="29" fillId="14" borderId="4" xfId="0" applyNumberFormat="1" applyFont="1" applyFill="1" applyBorder="1" applyAlignment="1" applyProtection="1">
      <alignment horizontal="center"/>
      <protection locked="0"/>
    </xf>
    <xf numFmtId="2" fontId="9" fillId="14" borderId="15" xfId="0" applyNumberFormat="1" applyFont="1" applyFill="1" applyBorder="1" applyAlignment="1" applyProtection="1">
      <alignment horizontal="center"/>
      <protection locked="0"/>
    </xf>
    <xf numFmtId="0" fontId="10" fillId="14" borderId="0" xfId="0" applyFont="1" applyFill="1" applyBorder="1" applyAlignment="1" applyProtection="1">
      <alignment horizontal="center" vertical="top" wrapText="1"/>
      <protection hidden="1"/>
    </xf>
    <xf numFmtId="0" fontId="9" fillId="14" borderId="4" xfId="0" applyFont="1" applyFill="1" applyBorder="1" applyAlignment="1" applyProtection="1">
      <alignment horizontal="center"/>
      <protection locked="0"/>
    </xf>
    <xf numFmtId="0" fontId="0" fillId="14" borderId="0" xfId="0" applyFill="1"/>
    <xf numFmtId="2" fontId="0" fillId="14" borderId="2" xfId="0" applyNumberFormat="1" applyFill="1" applyBorder="1" applyAlignment="1">
      <alignment horizontal="center"/>
    </xf>
    <xf numFmtId="166" fontId="9" fillId="14" borderId="2" xfId="0" applyNumberFormat="1" applyFont="1" applyFill="1" applyBorder="1" applyAlignment="1">
      <alignment horizontal="center"/>
    </xf>
    <xf numFmtId="166" fontId="9" fillId="14" borderId="4" xfId="0" applyNumberFormat="1" applyFont="1" applyFill="1" applyBorder="1" applyAlignment="1">
      <alignment horizontal="center"/>
    </xf>
    <xf numFmtId="2" fontId="9" fillId="14" borderId="4" xfId="0" applyNumberFormat="1" applyFont="1" applyFill="1" applyBorder="1" applyAlignment="1">
      <alignment horizontal="center"/>
    </xf>
    <xf numFmtId="0" fontId="9" fillId="14" borderId="4" xfId="0" applyFont="1" applyFill="1" applyBorder="1" applyAlignment="1">
      <alignment horizontal="center"/>
    </xf>
    <xf numFmtId="0" fontId="0" fillId="14" borderId="4" xfId="0" quotePrefix="1" applyFill="1" applyBorder="1" applyAlignment="1">
      <alignment horizontal="center"/>
    </xf>
    <xf numFmtId="167" fontId="9" fillId="14" borderId="4" xfId="0" applyNumberFormat="1" applyFont="1" applyFill="1" applyBorder="1" applyAlignment="1">
      <alignment horizontal="center"/>
    </xf>
    <xf numFmtId="2" fontId="0" fillId="14" borderId="0" xfId="0" applyNumberFormat="1" applyFill="1" applyAlignment="1">
      <alignment horizontal="center"/>
    </xf>
    <xf numFmtId="2" fontId="0" fillId="14" borderId="4" xfId="0" applyNumberFormat="1" applyFill="1" applyBorder="1" applyAlignment="1">
      <alignment horizontal="center"/>
    </xf>
    <xf numFmtId="0" fontId="26" fillId="10" borderId="4" xfId="0" applyFont="1" applyFill="1" applyBorder="1" applyAlignment="1">
      <alignment horizontal="center"/>
    </xf>
    <xf numFmtId="2" fontId="26" fillId="10" borderId="4" xfId="0" applyNumberFormat="1" applyFont="1" applyFill="1" applyBorder="1" applyAlignment="1">
      <alignment horizontal="center"/>
    </xf>
    <xf numFmtId="0" fontId="26" fillId="10" borderId="4" xfId="0" applyNumberFormat="1" applyFont="1" applyFill="1" applyBorder="1" applyAlignment="1">
      <alignment horizontal="center"/>
    </xf>
    <xf numFmtId="166" fontId="29" fillId="10" borderId="4" xfId="0" applyNumberFormat="1" applyFont="1" applyFill="1" applyBorder="1" applyAlignment="1">
      <alignment horizontal="center"/>
    </xf>
    <xf numFmtId="2" fontId="29" fillId="10" borderId="12" xfId="0" applyNumberFormat="1" applyFont="1" applyFill="1" applyBorder="1" applyAlignment="1" applyProtection="1">
      <alignment horizontal="center"/>
      <protection locked="0"/>
    </xf>
    <xf numFmtId="165" fontId="29" fillId="10" borderId="4" xfId="0" applyNumberFormat="1" applyFont="1" applyFill="1" applyBorder="1" applyAlignment="1" applyProtection="1">
      <alignment horizontal="center"/>
      <protection locked="0"/>
    </xf>
    <xf numFmtId="0" fontId="10" fillId="10" borderId="0" xfId="0" applyFont="1" applyFill="1" applyBorder="1" applyAlignment="1" applyProtection="1">
      <alignment horizontal="center" vertical="top" wrapText="1"/>
      <protection hidden="1"/>
    </xf>
    <xf numFmtId="0" fontId="0" fillId="10" borderId="0" xfId="0" applyFill="1"/>
    <xf numFmtId="2" fontId="9" fillId="10" borderId="2" xfId="0" applyNumberFormat="1" applyFont="1" applyFill="1" applyBorder="1" applyAlignment="1">
      <alignment horizontal="center"/>
    </xf>
    <xf numFmtId="0" fontId="9" fillId="10" borderId="4" xfId="0" applyNumberFormat="1" applyFont="1" applyFill="1" applyBorder="1" applyAlignment="1">
      <alignment horizontal="center"/>
    </xf>
    <xf numFmtId="2" fontId="0" fillId="10" borderId="0" xfId="0" applyNumberFormat="1" applyFill="1" applyAlignment="1">
      <alignment horizontal="center"/>
    </xf>
    <xf numFmtId="0" fontId="30" fillId="10" borderId="4" xfId="0" applyFont="1" applyFill="1" applyBorder="1" applyAlignment="1">
      <alignment horizontal="center"/>
    </xf>
    <xf numFmtId="0" fontId="0" fillId="10" borderId="4" xfId="0" applyNumberFormat="1" applyFill="1" applyBorder="1" applyAlignment="1">
      <alignment horizontal="center"/>
    </xf>
    <xf numFmtId="0" fontId="0" fillId="10" borderId="17" xfId="0" applyFill="1" applyBorder="1" applyAlignment="1">
      <alignment horizontal="center"/>
    </xf>
    <xf numFmtId="165" fontId="28" fillId="4" borderId="13" xfId="0" applyNumberFormat="1" applyFont="1" applyFill="1" applyBorder="1" applyAlignment="1" applyProtection="1">
      <alignment horizontal="center"/>
      <protection locked="0"/>
    </xf>
    <xf numFmtId="165" fontId="28" fillId="4" borderId="4" xfId="0" applyNumberFormat="1" applyFont="1" applyFill="1" applyBorder="1" applyAlignment="1" applyProtection="1">
      <alignment horizontal="center"/>
      <protection locked="0"/>
    </xf>
    <xf numFmtId="2" fontId="17" fillId="14" borderId="13" xfId="0" applyNumberFormat="1" applyFont="1" applyFill="1" applyBorder="1" applyAlignment="1" applyProtection="1">
      <alignment horizontal="center"/>
      <protection hidden="1"/>
    </xf>
    <xf numFmtId="2" fontId="29" fillId="4" borderId="13" xfId="0" applyNumberFormat="1" applyFont="1" applyFill="1" applyBorder="1" applyAlignment="1" applyProtection="1">
      <alignment horizontal="center"/>
      <protection locked="0"/>
    </xf>
    <xf numFmtId="2" fontId="29" fillId="15" borderId="13" xfId="0" applyNumberFormat="1" applyFont="1" applyFill="1" applyBorder="1" applyAlignment="1" applyProtection="1">
      <alignment horizontal="center"/>
      <protection locked="0"/>
    </xf>
    <xf numFmtId="2" fontId="3" fillId="4" borderId="4" xfId="0" applyNumberFormat="1" applyFont="1" applyFill="1" applyBorder="1" applyAlignment="1" applyProtection="1">
      <alignment horizontal="center"/>
      <protection locked="0"/>
    </xf>
    <xf numFmtId="2" fontId="29" fillId="14" borderId="4" xfId="0" applyNumberFormat="1" applyFont="1" applyFill="1" applyBorder="1" applyAlignment="1" applyProtection="1">
      <alignment horizontal="center"/>
      <protection locked="0"/>
    </xf>
    <xf numFmtId="0" fontId="3" fillId="3" borderId="8" xfId="0" applyFont="1" applyFill="1" applyBorder="1" applyAlignment="1" applyProtection="1">
      <alignment horizontal="center" vertical="top" wrapText="1"/>
      <protection locked="0"/>
    </xf>
    <xf numFmtId="0" fontId="3" fillId="3" borderId="10" xfId="0" applyFont="1" applyFill="1" applyBorder="1" applyAlignment="1" applyProtection="1">
      <alignment horizontal="center" vertical="top" wrapText="1"/>
      <protection locked="0"/>
    </xf>
    <xf numFmtId="0" fontId="0" fillId="0" borderId="6" xfId="0" applyBorder="1" applyAlignment="1" applyProtection="1">
      <alignment horizontal="center" wrapText="1"/>
      <protection locked="0"/>
    </xf>
    <xf numFmtId="2" fontId="29" fillId="4" borderId="4" xfId="0" applyNumberFormat="1" applyFont="1" applyFill="1" applyBorder="1" applyAlignment="1" applyProtection="1">
      <alignment horizontal="center"/>
      <protection locked="0"/>
    </xf>
    <xf numFmtId="165" fontId="7" fillId="6" borderId="0" xfId="0" applyNumberFormat="1" applyFont="1" applyFill="1" applyBorder="1" applyAlignment="1" applyProtection="1">
      <alignment horizontal="center"/>
      <protection hidden="1"/>
    </xf>
    <xf numFmtId="0" fontId="31" fillId="14" borderId="4" xfId="0" applyFont="1" applyFill="1" applyBorder="1" applyAlignment="1">
      <alignment horizontal="center"/>
    </xf>
    <xf numFmtId="2" fontId="28" fillId="4" borderId="13" xfId="0" applyNumberFormat="1" applyFont="1" applyFill="1" applyBorder="1" applyAlignment="1" applyProtection="1">
      <alignment horizontal="center"/>
      <protection locked="0"/>
    </xf>
    <xf numFmtId="2" fontId="29" fillId="10" borderId="13" xfId="0" applyNumberFormat="1" applyFont="1" applyFill="1" applyBorder="1" applyAlignment="1" applyProtection="1">
      <alignment horizontal="center"/>
      <protection locked="0"/>
    </xf>
    <xf numFmtId="1" fontId="0" fillId="0" borderId="0" xfId="0" applyNumberFormat="1" applyFill="1"/>
    <xf numFmtId="0" fontId="9" fillId="14" borderId="4" xfId="0" applyNumberFormat="1" applyFont="1" applyFill="1" applyBorder="1" applyAlignment="1">
      <alignment horizontal="center"/>
    </xf>
    <xf numFmtId="170" fontId="25" fillId="6" borderId="13" xfId="0" applyNumberFormat="1" applyFont="1" applyFill="1" applyBorder="1" applyAlignment="1" applyProtection="1">
      <alignment horizontal="center"/>
      <protection hidden="1"/>
    </xf>
    <xf numFmtId="165" fontId="29" fillId="10" borderId="13" xfId="0" applyNumberFormat="1" applyFont="1" applyFill="1" applyBorder="1" applyAlignment="1" applyProtection="1">
      <alignment horizontal="center"/>
      <protection locked="0"/>
    </xf>
    <xf numFmtId="0" fontId="3" fillId="3" borderId="8" xfId="0" applyFont="1" applyFill="1" applyBorder="1" applyAlignment="1" applyProtection="1">
      <alignment horizontal="center" vertical="top" wrapText="1"/>
      <protection locked="0"/>
    </xf>
    <xf numFmtId="0" fontId="3" fillId="3" borderId="10" xfId="0" applyFont="1" applyFill="1" applyBorder="1" applyAlignment="1" applyProtection="1">
      <alignment horizontal="center" vertical="top" wrapText="1"/>
      <protection locked="0"/>
    </xf>
    <xf numFmtId="0" fontId="0" fillId="0" borderId="6" xfId="0" applyBorder="1" applyAlignment="1" applyProtection="1">
      <alignment horizontal="center" wrapText="1"/>
      <protection locked="0"/>
    </xf>
    <xf numFmtId="2" fontId="7" fillId="6" borderId="0" xfId="0" applyNumberFormat="1" applyFont="1" applyFill="1" applyBorder="1" applyAlignment="1" applyProtection="1">
      <alignment horizontal="center"/>
      <protection hidden="1"/>
    </xf>
    <xf numFmtId="165" fontId="0" fillId="15" borderId="2" xfId="0" applyNumberFormat="1" applyFill="1" applyBorder="1" applyAlignment="1">
      <alignment horizontal="center"/>
    </xf>
    <xf numFmtId="0" fontId="3" fillId="3" borderId="8" xfId="0" applyFont="1" applyFill="1" applyBorder="1" applyAlignment="1" applyProtection="1">
      <alignment horizontal="center" vertical="top" wrapText="1"/>
      <protection locked="0"/>
    </xf>
    <xf numFmtId="0" fontId="3" fillId="3" borderId="10" xfId="0" applyFont="1" applyFill="1" applyBorder="1" applyAlignment="1" applyProtection="1">
      <alignment horizontal="center" vertical="top" wrapText="1"/>
      <protection locked="0"/>
    </xf>
    <xf numFmtId="0" fontId="0" fillId="0" borderId="6" xfId="0" applyBorder="1" applyAlignment="1" applyProtection="1">
      <alignment horizontal="center" wrapText="1"/>
      <protection locked="0"/>
    </xf>
    <xf numFmtId="166" fontId="0" fillId="14" borderId="4" xfId="0" applyNumberFormat="1" applyFill="1" applyBorder="1" applyAlignment="1">
      <alignment horizontal="center"/>
    </xf>
    <xf numFmtId="166" fontId="29" fillId="4" borderId="13" xfId="0" applyNumberFormat="1" applyFont="1" applyFill="1" applyBorder="1" applyAlignment="1">
      <alignment horizontal="center"/>
    </xf>
    <xf numFmtId="2" fontId="29" fillId="4" borderId="14" xfId="0" applyNumberFormat="1" applyFont="1" applyFill="1" applyBorder="1" applyAlignment="1" applyProtection="1">
      <alignment horizontal="center"/>
      <protection locked="0"/>
    </xf>
    <xf numFmtId="2" fontId="29" fillId="4" borderId="2" xfId="0" applyNumberFormat="1" applyFont="1" applyFill="1" applyBorder="1" applyAlignment="1" applyProtection="1">
      <alignment horizontal="center"/>
      <protection locked="0"/>
    </xf>
    <xf numFmtId="2" fontId="3" fillId="14" borderId="4" xfId="0" applyNumberFormat="1" applyFont="1" applyFill="1" applyBorder="1" applyAlignment="1" applyProtection="1">
      <alignment horizontal="center"/>
      <protection locked="0"/>
    </xf>
    <xf numFmtId="2" fontId="3" fillId="15" borderId="4" xfId="0" applyNumberFormat="1" applyFont="1" applyFill="1" applyBorder="1" applyAlignment="1" applyProtection="1">
      <alignment horizontal="center"/>
      <protection locked="0"/>
    </xf>
    <xf numFmtId="0" fontId="3" fillId="3" borderId="8" xfId="0" applyFont="1" applyFill="1" applyBorder="1" applyAlignment="1" applyProtection="1">
      <alignment horizontal="center" vertical="top" wrapText="1"/>
      <protection locked="0"/>
    </xf>
    <xf numFmtId="0" fontId="3" fillId="3" borderId="10" xfId="0" applyFont="1" applyFill="1" applyBorder="1" applyAlignment="1" applyProtection="1">
      <alignment horizontal="center" vertical="top" wrapText="1"/>
      <protection locked="0"/>
    </xf>
    <xf numFmtId="0" fontId="0" fillId="0" borderId="6" xfId="0" applyBorder="1" applyAlignment="1" applyProtection="1">
      <alignment horizontal="center" wrapText="1"/>
      <protection locked="0"/>
    </xf>
    <xf numFmtId="165" fontId="0" fillId="10" borderId="4" xfId="0" applyNumberFormat="1" applyFill="1" applyBorder="1" applyAlignment="1">
      <alignment horizontal="center"/>
    </xf>
    <xf numFmtId="2" fontId="21" fillId="6" borderId="15" xfId="0" applyNumberFormat="1" applyFont="1" applyFill="1" applyBorder="1" applyAlignment="1" applyProtection="1">
      <alignment horizontal="center"/>
      <protection hidden="1"/>
    </xf>
    <xf numFmtId="2" fontId="7" fillId="6" borderId="4" xfId="0" applyNumberFormat="1" applyFont="1" applyFill="1" applyBorder="1" applyAlignment="1" applyProtection="1">
      <alignment horizontal="center"/>
      <protection hidden="1"/>
    </xf>
    <xf numFmtId="1" fontId="9" fillId="17" borderId="13" xfId="0" applyNumberFormat="1" applyFont="1" applyFill="1" applyBorder="1" applyAlignment="1" applyProtection="1">
      <alignment horizontal="center"/>
      <protection locked="0"/>
    </xf>
    <xf numFmtId="1" fontId="13" fillId="17" borderId="13" xfId="0" applyNumberFormat="1" applyFont="1" applyFill="1" applyBorder="1" applyAlignment="1" applyProtection="1">
      <alignment horizontal="center"/>
      <protection locked="0"/>
    </xf>
    <xf numFmtId="0" fontId="9" fillId="17" borderId="4" xfId="0" applyFont="1" applyFill="1" applyBorder="1" applyAlignment="1" applyProtection="1">
      <alignment horizontal="center"/>
      <protection locked="0"/>
    </xf>
    <xf numFmtId="1" fontId="9" fillId="17" borderId="4" xfId="0" applyNumberFormat="1" applyFont="1" applyFill="1" applyBorder="1" applyAlignment="1" applyProtection="1">
      <alignment horizontal="center"/>
      <protection locked="0"/>
    </xf>
    <xf numFmtId="166" fontId="9" fillId="0" borderId="0" xfId="0" applyNumberFormat="1" applyFont="1" applyFill="1" applyBorder="1" applyAlignment="1" applyProtection="1">
      <alignment horizontal="center"/>
      <protection locked="0"/>
    </xf>
    <xf numFmtId="2" fontId="9" fillId="0" borderId="0" xfId="0" applyNumberFormat="1" applyFont="1" applyFill="1" applyBorder="1" applyAlignment="1" applyProtection="1">
      <alignment horizontal="center"/>
      <protection locked="0"/>
    </xf>
    <xf numFmtId="0" fontId="3" fillId="3" borderId="8" xfId="0" applyFont="1" applyFill="1" applyBorder="1" applyAlignment="1" applyProtection="1">
      <alignment horizontal="center" vertical="top" wrapText="1"/>
      <protection locked="0"/>
    </xf>
    <xf numFmtId="0" fontId="3" fillId="3" borderId="10" xfId="0" applyFont="1" applyFill="1" applyBorder="1" applyAlignment="1" applyProtection="1">
      <alignment horizontal="center" vertical="top" wrapText="1"/>
      <protection locked="0"/>
    </xf>
    <xf numFmtId="0" fontId="0" fillId="0" borderId="6" xfId="0" applyBorder="1" applyAlignment="1" applyProtection="1">
      <alignment horizontal="center" wrapText="1"/>
      <protection locked="0"/>
    </xf>
    <xf numFmtId="1" fontId="29" fillId="0" borderId="9" xfId="0" applyNumberFormat="1" applyFont="1" applyFill="1" applyBorder="1" applyAlignment="1" applyProtection="1">
      <alignment horizontal="center" vertical="center"/>
      <protection hidden="1"/>
    </xf>
    <xf numFmtId="166" fontId="29" fillId="17" borderId="4" xfId="0" applyNumberFormat="1" applyFont="1" applyFill="1" applyBorder="1" applyAlignment="1">
      <alignment horizontal="center"/>
    </xf>
    <xf numFmtId="2" fontId="29" fillId="17" borderId="12" xfId="0" applyNumberFormat="1" applyFont="1" applyFill="1" applyBorder="1" applyAlignment="1" applyProtection="1">
      <alignment horizontal="center"/>
      <protection locked="0"/>
    </xf>
    <xf numFmtId="2" fontId="9" fillId="17" borderId="4" xfId="0" applyNumberFormat="1" applyFont="1" applyFill="1" applyBorder="1" applyAlignment="1" applyProtection="1">
      <alignment horizontal="center"/>
      <protection locked="0"/>
    </xf>
    <xf numFmtId="2" fontId="29" fillId="17" borderId="13" xfId="0" applyNumberFormat="1" applyFont="1" applyFill="1" applyBorder="1" applyAlignment="1" applyProtection="1">
      <alignment horizontal="center"/>
      <protection locked="0"/>
    </xf>
    <xf numFmtId="4" fontId="9" fillId="4" borderId="4" xfId="0" applyNumberFormat="1" applyFont="1" applyFill="1" applyBorder="1" applyAlignment="1">
      <alignment horizontal="center"/>
    </xf>
    <xf numFmtId="0" fontId="32" fillId="0" borderId="0" xfId="0" applyFont="1"/>
    <xf numFmtId="2" fontId="29" fillId="4" borderId="4" xfId="0" applyNumberFormat="1" applyFont="1" applyFill="1" applyBorder="1" applyAlignment="1">
      <alignment horizontal="center"/>
    </xf>
    <xf numFmtId="0" fontId="3" fillId="3" borderId="8" xfId="0" applyFont="1" applyFill="1" applyBorder="1" applyAlignment="1" applyProtection="1">
      <alignment horizontal="center" vertical="top" wrapText="1"/>
      <protection locked="0"/>
    </xf>
    <xf numFmtId="0" fontId="3" fillId="3" borderId="10" xfId="0" applyFont="1" applyFill="1" applyBorder="1" applyAlignment="1" applyProtection="1">
      <alignment horizontal="center" vertical="top" wrapText="1"/>
      <protection locked="0"/>
    </xf>
    <xf numFmtId="2" fontId="28" fillId="4" borderId="4" xfId="0" applyNumberFormat="1" applyFont="1" applyFill="1" applyBorder="1" applyAlignment="1" applyProtection="1">
      <alignment horizontal="center"/>
      <protection locked="0"/>
    </xf>
    <xf numFmtId="166" fontId="28" fillId="17" borderId="4" xfId="0" applyNumberFormat="1" applyFont="1" applyFill="1" applyBorder="1" applyAlignment="1">
      <alignment horizontal="center"/>
    </xf>
    <xf numFmtId="0" fontId="0" fillId="0" borderId="6" xfId="0" applyBorder="1" applyAlignment="1" applyProtection="1">
      <alignment horizontal="center" wrapText="1"/>
      <protection locked="0"/>
    </xf>
    <xf numFmtId="166" fontId="28" fillId="14" borderId="4" xfId="0" applyNumberFormat="1" applyFont="1" applyFill="1" applyBorder="1" applyAlignment="1">
      <alignment horizontal="center" vertical="center"/>
    </xf>
    <xf numFmtId="166" fontId="28" fillId="17" borderId="4" xfId="0" applyNumberFormat="1" applyFont="1" applyFill="1" applyBorder="1" applyAlignment="1" applyProtection="1">
      <alignment horizontal="center"/>
      <protection locked="0"/>
    </xf>
    <xf numFmtId="166" fontId="28" fillId="4" borderId="4" xfId="0" applyNumberFormat="1" applyFont="1" applyFill="1" applyBorder="1" applyAlignment="1" applyProtection="1">
      <alignment horizontal="center"/>
      <protection locked="0"/>
    </xf>
    <xf numFmtId="166" fontId="9" fillId="4" borderId="4" xfId="0" applyNumberFormat="1" applyFont="1" applyFill="1" applyBorder="1" applyAlignment="1" applyProtection="1">
      <alignment horizontal="center"/>
      <protection locked="0"/>
    </xf>
    <xf numFmtId="166" fontId="28" fillId="4" borderId="13" xfId="0" applyNumberFormat="1" applyFont="1" applyFill="1" applyBorder="1" applyAlignment="1" applyProtection="1">
      <alignment horizontal="center"/>
      <protection locked="0"/>
    </xf>
    <xf numFmtId="166" fontId="28" fillId="17" borderId="13" xfId="0" applyNumberFormat="1" applyFont="1" applyFill="1" applyBorder="1" applyAlignment="1" applyProtection="1">
      <alignment horizontal="center"/>
      <protection locked="0"/>
    </xf>
    <xf numFmtId="166" fontId="28" fillId="14" borderId="4" xfId="0" applyNumberFormat="1" applyFont="1" applyFill="1" applyBorder="1" applyAlignment="1" applyProtection="1">
      <alignment horizontal="center" vertical="center"/>
      <protection locked="0"/>
    </xf>
    <xf numFmtId="166" fontId="28" fillId="14" borderId="4" xfId="0" applyNumberFormat="1" applyFont="1" applyFill="1" applyBorder="1" applyAlignment="1" applyProtection="1">
      <alignment horizontal="center"/>
      <protection locked="0"/>
    </xf>
    <xf numFmtId="166" fontId="28" fillId="4" borderId="12" xfId="0" applyNumberFormat="1" applyFont="1" applyFill="1" applyBorder="1" applyAlignment="1" applyProtection="1">
      <alignment horizontal="center"/>
      <protection locked="0"/>
    </xf>
    <xf numFmtId="166" fontId="28" fillId="17" borderId="12" xfId="0" applyNumberFormat="1" applyFont="1" applyFill="1" applyBorder="1" applyAlignment="1" applyProtection="1">
      <alignment horizontal="center"/>
      <protection locked="0"/>
    </xf>
    <xf numFmtId="166" fontId="28" fillId="14" borderId="12" xfId="0" applyNumberFormat="1" applyFont="1" applyFill="1" applyBorder="1" applyAlignment="1" applyProtection="1">
      <alignment horizontal="center" vertical="center"/>
      <protection locked="0"/>
    </xf>
    <xf numFmtId="166" fontId="28" fillId="14" borderId="12" xfId="0" applyNumberFormat="1" applyFont="1" applyFill="1" applyBorder="1" applyAlignment="1" applyProtection="1">
      <alignment horizontal="center"/>
      <protection locked="0"/>
    </xf>
    <xf numFmtId="0" fontId="3" fillId="3" borderId="8" xfId="0" applyFont="1" applyFill="1" applyBorder="1" applyAlignment="1" applyProtection="1">
      <alignment horizontal="center" vertical="top" wrapText="1"/>
      <protection locked="0"/>
    </xf>
    <xf numFmtId="0" fontId="3" fillId="3" borderId="10" xfId="0" applyFont="1" applyFill="1" applyBorder="1" applyAlignment="1" applyProtection="1">
      <alignment horizontal="center" vertical="top" wrapText="1"/>
      <protection locked="0"/>
    </xf>
    <xf numFmtId="0" fontId="0" fillId="0" borderId="6" xfId="0" applyBorder="1" applyAlignment="1" applyProtection="1">
      <alignment horizontal="center" wrapText="1"/>
      <protection locked="0"/>
    </xf>
    <xf numFmtId="0" fontId="5" fillId="0" borderId="27" xfId="0" applyFont="1" applyBorder="1" applyAlignment="1" applyProtection="1">
      <alignment horizontal="center" vertical="center" wrapText="1"/>
      <protection locked="0"/>
    </xf>
    <xf numFmtId="0" fontId="0" fillId="0" borderId="27" xfId="0" applyBorder="1" applyAlignment="1" applyProtection="1">
      <alignment horizontal="center" vertical="center" wrapText="1"/>
      <protection locked="0"/>
    </xf>
    <xf numFmtId="0" fontId="0" fillId="0" borderId="27" xfId="0" applyNumberFormat="1" applyFill="1" applyBorder="1" applyAlignment="1" applyProtection="1">
      <alignment horizontal="center" vertical="center" wrapText="1"/>
      <protection locked="0"/>
    </xf>
    <xf numFmtId="0" fontId="10" fillId="0" borderId="27" xfId="0" applyFont="1" applyFill="1" applyBorder="1" applyAlignment="1" applyProtection="1">
      <alignment horizontal="center" vertical="center" wrapText="1"/>
      <protection locked="0"/>
    </xf>
    <xf numFmtId="0" fontId="11" fillId="0" borderId="27" xfId="0" applyFont="1" applyBorder="1" applyAlignment="1" applyProtection="1">
      <alignment horizontal="center" vertical="center" wrapText="1"/>
      <protection locked="0"/>
    </xf>
    <xf numFmtId="165" fontId="3" fillId="6" borderId="12" xfId="0" applyNumberFormat="1" applyFont="1" applyFill="1" applyBorder="1" applyAlignment="1" applyProtection="1">
      <alignment horizontal="center"/>
      <protection hidden="1"/>
    </xf>
    <xf numFmtId="0" fontId="3" fillId="3" borderId="8" xfId="0" applyFont="1" applyFill="1" applyBorder="1" applyAlignment="1" applyProtection="1">
      <alignment horizontal="center" vertical="top" wrapText="1"/>
      <protection locked="0"/>
    </xf>
    <xf numFmtId="0" fontId="3" fillId="3" borderId="10" xfId="0" applyFont="1" applyFill="1" applyBorder="1" applyAlignment="1" applyProtection="1">
      <alignment horizontal="center" vertical="top" wrapText="1"/>
      <protection locked="0"/>
    </xf>
    <xf numFmtId="0" fontId="0" fillId="0" borderId="6" xfId="0" applyBorder="1" applyAlignment="1" applyProtection="1">
      <alignment horizontal="center" wrapText="1"/>
      <protection locked="0"/>
    </xf>
    <xf numFmtId="10" fontId="14" fillId="17" borderId="4" xfId="0" applyNumberFormat="1" applyFont="1" applyFill="1" applyBorder="1" applyAlignment="1" applyProtection="1">
      <alignment horizontal="center"/>
      <protection hidden="1"/>
    </xf>
    <xf numFmtId="10" fontId="14" fillId="17" borderId="13" xfId="0" applyNumberFormat="1" applyFont="1" applyFill="1" applyBorder="1" applyAlignment="1" applyProtection="1">
      <alignment horizontal="center"/>
      <protection hidden="1"/>
    </xf>
    <xf numFmtId="0" fontId="0" fillId="17" borderId="4" xfId="0" applyFill="1" applyBorder="1" applyAlignment="1">
      <alignment horizontal="center"/>
    </xf>
    <xf numFmtId="2" fontId="14" fillId="17" borderId="4" xfId="0" applyNumberFormat="1" applyFont="1" applyFill="1" applyBorder="1" applyAlignment="1" applyProtection="1">
      <alignment horizontal="center"/>
      <protection hidden="1"/>
    </xf>
    <xf numFmtId="10" fontId="9" fillId="17" borderId="4" xfId="0" applyNumberFormat="1" applyFont="1" applyFill="1" applyBorder="1" applyAlignment="1" applyProtection="1">
      <alignment horizontal="center"/>
      <protection hidden="1"/>
    </xf>
    <xf numFmtId="2" fontId="0" fillId="10" borderId="18" xfId="0" applyNumberFormat="1" applyFill="1" applyBorder="1" applyAlignment="1">
      <alignment horizontal="center"/>
    </xf>
    <xf numFmtId="166" fontId="0" fillId="14" borderId="2" xfId="0" applyNumberFormat="1" applyFill="1" applyBorder="1" applyAlignment="1">
      <alignment horizontal="center"/>
    </xf>
    <xf numFmtId="166" fontId="9" fillId="14" borderId="13" xfId="0" applyNumberFormat="1" applyFont="1" applyFill="1" applyBorder="1" applyAlignment="1" applyProtection="1">
      <alignment horizontal="center"/>
      <protection locked="0"/>
    </xf>
    <xf numFmtId="165" fontId="9" fillId="4" borderId="12" xfId="0" applyNumberFormat="1" applyFont="1" applyFill="1" applyBorder="1" applyAlignment="1" applyProtection="1">
      <alignment horizontal="center"/>
      <protection locked="0"/>
    </xf>
    <xf numFmtId="2" fontId="9" fillId="4" borderId="12" xfId="0" applyNumberFormat="1" applyFont="1" applyFill="1" applyBorder="1" applyAlignment="1" applyProtection="1">
      <alignment horizontal="center"/>
      <protection locked="0"/>
    </xf>
    <xf numFmtId="1" fontId="13" fillId="4" borderId="13" xfId="0" applyNumberFormat="1" applyFont="1" applyFill="1" applyBorder="1" applyAlignment="1" applyProtection="1">
      <alignment horizontal="center"/>
      <protection locked="0"/>
    </xf>
    <xf numFmtId="2" fontId="14" fillId="14" borderId="13" xfId="0" applyNumberFormat="1" applyFont="1" applyFill="1" applyBorder="1" applyAlignment="1" applyProtection="1">
      <alignment horizontal="center"/>
      <protection hidden="1"/>
    </xf>
    <xf numFmtId="10" fontId="9" fillId="14" borderId="13" xfId="0" applyNumberFormat="1" applyFont="1" applyFill="1" applyBorder="1" applyAlignment="1" applyProtection="1">
      <alignment horizontal="center"/>
      <protection hidden="1"/>
    </xf>
    <xf numFmtId="2" fontId="9" fillId="4" borderId="53" xfId="0" applyNumberFormat="1" applyFont="1" applyFill="1" applyBorder="1" applyAlignment="1" applyProtection="1">
      <alignment horizontal="center"/>
      <protection locked="0"/>
    </xf>
    <xf numFmtId="0" fontId="9" fillId="8" borderId="15" xfId="0" applyFont="1" applyFill="1" applyBorder="1" applyAlignment="1">
      <alignment horizontal="left" wrapText="1"/>
    </xf>
    <xf numFmtId="0" fontId="9" fillId="8" borderId="1" xfId="0" applyFont="1" applyFill="1" applyBorder="1" applyAlignment="1">
      <alignment horizontal="left" wrapText="1"/>
    </xf>
    <xf numFmtId="0" fontId="9" fillId="8" borderId="38" xfId="0" applyFont="1" applyFill="1" applyBorder="1" applyAlignment="1">
      <alignment horizontal="left" wrapText="1"/>
    </xf>
    <xf numFmtId="0" fontId="11" fillId="3" borderId="32" xfId="0" applyFont="1" applyFill="1" applyBorder="1" applyAlignment="1" applyProtection="1">
      <alignment horizontal="center" vertical="top" wrapText="1"/>
      <protection locked="0"/>
    </xf>
    <xf numFmtId="0" fontId="11" fillId="3" borderId="18" xfId="0" applyFont="1" applyFill="1" applyBorder="1" applyAlignment="1" applyProtection="1">
      <alignment horizontal="center" vertical="top" wrapText="1"/>
      <protection locked="0"/>
    </xf>
    <xf numFmtId="0" fontId="11" fillId="3" borderId="23" xfId="0" applyFont="1" applyFill="1" applyBorder="1" applyAlignment="1" applyProtection="1">
      <alignment horizontal="center" vertical="top" wrapText="1"/>
      <protection locked="0"/>
    </xf>
    <xf numFmtId="0" fontId="6" fillId="3" borderId="32" xfId="0" applyFont="1" applyFill="1" applyBorder="1" applyAlignment="1" applyProtection="1">
      <alignment horizontal="center" vertical="top" wrapText="1"/>
      <protection locked="0"/>
    </xf>
    <xf numFmtId="0" fontId="6" fillId="3" borderId="18" xfId="0" applyFont="1" applyFill="1" applyBorder="1" applyAlignment="1" applyProtection="1">
      <alignment horizontal="center" vertical="top" wrapText="1"/>
      <protection locked="0"/>
    </xf>
    <xf numFmtId="0" fontId="6" fillId="3" borderId="23" xfId="0" applyFont="1" applyFill="1" applyBorder="1" applyAlignment="1" applyProtection="1">
      <alignment horizontal="center" vertical="top" wrapText="1"/>
      <protection locked="0"/>
    </xf>
    <xf numFmtId="0" fontId="5" fillId="3" borderId="32" xfId="0" applyFont="1" applyFill="1" applyBorder="1" applyAlignment="1" applyProtection="1">
      <alignment horizontal="center" vertical="top" wrapText="1"/>
      <protection locked="0"/>
    </xf>
    <xf numFmtId="0" fontId="5" fillId="3" borderId="18" xfId="0" applyFont="1" applyFill="1" applyBorder="1" applyAlignment="1" applyProtection="1">
      <alignment horizontal="center" vertical="top" wrapText="1"/>
      <protection locked="0"/>
    </xf>
    <xf numFmtId="0" fontId="5" fillId="3" borderId="23" xfId="0" applyFont="1" applyFill="1" applyBorder="1" applyAlignment="1" applyProtection="1">
      <alignment horizontal="center" vertical="top" wrapText="1"/>
      <protection locked="0"/>
    </xf>
    <xf numFmtId="0" fontId="0" fillId="0" borderId="6" xfId="0" applyBorder="1" applyAlignment="1" applyProtection="1">
      <alignment horizontal="center" wrapText="1"/>
      <protection locked="0"/>
    </xf>
    <xf numFmtId="0" fontId="0" fillId="0" borderId="40" xfId="0" applyBorder="1" applyAlignment="1" applyProtection="1">
      <alignment horizontal="center" wrapText="1"/>
      <protection locked="0"/>
    </xf>
    <xf numFmtId="0" fontId="23" fillId="5" borderId="33" xfId="0" applyFont="1" applyFill="1" applyBorder="1" applyAlignment="1">
      <alignment horizontal="left"/>
    </xf>
    <xf numFmtId="0" fontId="23" fillId="5" borderId="34" xfId="0" applyFont="1" applyFill="1" applyBorder="1" applyAlignment="1">
      <alignment horizontal="left"/>
    </xf>
    <xf numFmtId="0" fontId="23" fillId="5" borderId="35" xfId="0" applyFont="1" applyFill="1" applyBorder="1" applyAlignment="1">
      <alignment horizontal="left"/>
    </xf>
    <xf numFmtId="0" fontId="7" fillId="3" borderId="32" xfId="0" applyFont="1" applyFill="1" applyBorder="1" applyAlignment="1" applyProtection="1">
      <alignment horizontal="center" vertical="top" wrapText="1"/>
      <protection locked="0"/>
    </xf>
    <xf numFmtId="0" fontId="7" fillId="3" borderId="18" xfId="0" applyFont="1" applyFill="1" applyBorder="1" applyAlignment="1" applyProtection="1">
      <alignment horizontal="center" vertical="top" wrapText="1"/>
      <protection locked="0"/>
    </xf>
    <xf numFmtId="0" fontId="7" fillId="3" borderId="23" xfId="0" applyFont="1" applyFill="1" applyBorder="1" applyAlignment="1" applyProtection="1">
      <alignment horizontal="center" vertical="top" wrapText="1"/>
      <protection locked="0"/>
    </xf>
    <xf numFmtId="0" fontId="8" fillId="3" borderId="32" xfId="0" applyFont="1" applyFill="1" applyBorder="1" applyAlignment="1" applyProtection="1">
      <alignment horizontal="center" vertical="top" wrapText="1"/>
      <protection locked="0"/>
    </xf>
    <xf numFmtId="0" fontId="8" fillId="3" borderId="18" xfId="0" applyFont="1" applyFill="1" applyBorder="1" applyAlignment="1" applyProtection="1">
      <alignment horizontal="center" vertical="top" wrapText="1"/>
      <protection locked="0"/>
    </xf>
    <xf numFmtId="0" fontId="8" fillId="3" borderId="23" xfId="0" applyFont="1" applyFill="1" applyBorder="1" applyAlignment="1" applyProtection="1">
      <alignment horizontal="center" vertical="top" wrapText="1"/>
      <protection locked="0"/>
    </xf>
    <xf numFmtId="0" fontId="0" fillId="3" borderId="32" xfId="0" applyFill="1" applyBorder="1" applyAlignment="1" applyProtection="1">
      <alignment horizontal="center" vertical="top" wrapText="1"/>
      <protection locked="0"/>
    </xf>
    <xf numFmtId="0" fontId="0" fillId="3" borderId="18" xfId="0" applyFill="1" applyBorder="1" applyAlignment="1" applyProtection="1">
      <alignment horizontal="center" vertical="top" wrapText="1"/>
      <protection locked="0"/>
    </xf>
    <xf numFmtId="0" fontId="0" fillId="3" borderId="23" xfId="0" applyFill="1" applyBorder="1" applyAlignment="1" applyProtection="1">
      <alignment horizontal="center" vertical="top" wrapText="1"/>
      <protection locked="0"/>
    </xf>
    <xf numFmtId="0" fontId="0" fillId="3" borderId="46" xfId="0" applyFill="1" applyBorder="1" applyAlignment="1" applyProtection="1">
      <alignment vertical="top" wrapText="1"/>
      <protection locked="0"/>
    </xf>
    <xf numFmtId="0" fontId="0" fillId="3" borderId="47" xfId="0" applyFill="1" applyBorder="1" applyAlignment="1" applyProtection="1">
      <alignment vertical="top" wrapText="1"/>
      <protection locked="0"/>
    </xf>
    <xf numFmtId="0" fontId="0" fillId="3" borderId="48" xfId="0" applyFill="1" applyBorder="1" applyAlignment="1" applyProtection="1">
      <alignment vertical="top" wrapText="1"/>
      <protection locked="0"/>
    </xf>
    <xf numFmtId="0" fontId="0" fillId="3" borderId="15" xfId="0" applyFill="1" applyBorder="1" applyAlignment="1" applyProtection="1">
      <alignment horizontal="center" vertical="top" wrapText="1"/>
      <protection locked="0"/>
    </xf>
    <xf numFmtId="0" fontId="0" fillId="3" borderId="2" xfId="0" applyFill="1" applyBorder="1" applyAlignment="1" applyProtection="1">
      <alignment horizontal="center" vertical="top" wrapText="1"/>
      <protection locked="0"/>
    </xf>
    <xf numFmtId="0" fontId="0" fillId="3" borderId="17" xfId="0" applyFill="1" applyBorder="1" applyAlignment="1" applyProtection="1">
      <alignment horizontal="center" vertical="top" wrapText="1"/>
      <protection locked="0"/>
    </xf>
    <xf numFmtId="0" fontId="0" fillId="3" borderId="13" xfId="0" applyFill="1" applyBorder="1" applyAlignment="1" applyProtection="1">
      <alignment horizontal="center" vertical="top" wrapText="1"/>
      <protection locked="0"/>
    </xf>
    <xf numFmtId="0" fontId="0" fillId="3" borderId="17" xfId="0" applyFill="1" applyBorder="1" applyAlignment="1">
      <alignment horizontal="center" wrapText="1"/>
    </xf>
    <xf numFmtId="0" fontId="0" fillId="3" borderId="13" xfId="0" applyFill="1" applyBorder="1" applyAlignment="1">
      <alignment horizontal="center" wrapText="1"/>
    </xf>
    <xf numFmtId="0" fontId="12" fillId="4" borderId="37" xfId="0" applyFont="1" applyFill="1" applyBorder="1" applyAlignment="1">
      <alignment horizontal="center" vertical="center" textRotation="180"/>
    </xf>
    <xf numFmtId="0" fontId="12" fillId="4" borderId="19" xfId="0" applyFont="1" applyFill="1" applyBorder="1" applyAlignment="1">
      <alignment horizontal="center" vertical="center" textRotation="180"/>
    </xf>
    <xf numFmtId="0" fontId="12" fillId="4" borderId="28" xfId="0" applyFont="1" applyFill="1" applyBorder="1" applyAlignment="1">
      <alignment horizontal="center" vertical="center" textRotation="180"/>
    </xf>
    <xf numFmtId="0" fontId="12" fillId="10" borderId="37" xfId="0" applyFont="1" applyFill="1" applyBorder="1" applyAlignment="1">
      <alignment horizontal="center" vertical="center" textRotation="180"/>
    </xf>
    <xf numFmtId="0" fontId="12" fillId="10" borderId="19" xfId="0" applyFont="1" applyFill="1" applyBorder="1" applyAlignment="1">
      <alignment horizontal="center" vertical="center" textRotation="180"/>
    </xf>
    <xf numFmtId="0" fontId="12" fillId="10" borderId="28" xfId="0" applyFont="1" applyFill="1" applyBorder="1" applyAlignment="1">
      <alignment horizontal="center" vertical="center" textRotation="180"/>
    </xf>
    <xf numFmtId="0" fontId="0" fillId="3" borderId="17" xfId="0" applyFill="1" applyBorder="1" applyAlignment="1">
      <alignment horizontal="center"/>
    </xf>
    <xf numFmtId="0" fontId="0" fillId="3" borderId="13" xfId="0" applyFill="1" applyBorder="1" applyAlignment="1">
      <alignment horizontal="center"/>
    </xf>
    <xf numFmtId="0" fontId="0" fillId="7" borderId="36" xfId="0" applyFill="1" applyBorder="1" applyAlignment="1" applyProtection="1">
      <alignment horizontal="center" vertical="top" wrapText="1"/>
      <protection hidden="1"/>
    </xf>
    <xf numFmtId="0" fontId="0" fillId="7" borderId="19" xfId="0" applyFill="1" applyBorder="1" applyAlignment="1" applyProtection="1">
      <alignment horizontal="center" vertical="top" wrapText="1"/>
      <protection hidden="1"/>
    </xf>
    <xf numFmtId="0" fontId="0" fillId="7" borderId="28" xfId="0" applyFill="1" applyBorder="1" applyAlignment="1" applyProtection="1">
      <alignment horizontal="center" vertical="top" wrapText="1"/>
      <protection hidden="1"/>
    </xf>
    <xf numFmtId="0" fontId="0" fillId="3" borderId="43" xfId="0" applyFill="1" applyBorder="1" applyAlignment="1" applyProtection="1">
      <alignment horizontal="center" vertical="top" wrapText="1"/>
      <protection locked="0"/>
    </xf>
    <xf numFmtId="0" fontId="0" fillId="3" borderId="14" xfId="0" applyFill="1" applyBorder="1" applyAlignment="1" applyProtection="1">
      <alignment horizontal="center" vertical="top" wrapText="1"/>
      <protection locked="0"/>
    </xf>
    <xf numFmtId="0" fontId="0" fillId="3" borderId="12" xfId="0" applyFill="1" applyBorder="1" applyAlignment="1" applyProtection="1">
      <alignment horizontal="center" vertical="top" wrapText="1"/>
      <protection locked="0"/>
    </xf>
    <xf numFmtId="0" fontId="0" fillId="7" borderId="32" xfId="0" applyFill="1" applyBorder="1" applyAlignment="1" applyProtection="1">
      <alignment horizontal="center" vertical="top" wrapText="1"/>
      <protection hidden="1"/>
    </xf>
    <xf numFmtId="0" fontId="0" fillId="7" borderId="18" xfId="0" applyFill="1" applyBorder="1" applyAlignment="1" applyProtection="1">
      <alignment horizontal="center" vertical="top" wrapText="1"/>
      <protection hidden="1"/>
    </xf>
    <xf numFmtId="0" fontId="0" fillId="7" borderId="23" xfId="0" applyFill="1" applyBorder="1" applyAlignment="1" applyProtection="1">
      <alignment horizontal="center" vertical="top" wrapText="1"/>
      <protection hidden="1"/>
    </xf>
    <xf numFmtId="0" fontId="10" fillId="7" borderId="32" xfId="0" applyFont="1" applyFill="1" applyBorder="1" applyAlignment="1" applyProtection="1">
      <alignment horizontal="center" vertical="top" wrapText="1"/>
      <protection hidden="1"/>
    </xf>
    <xf numFmtId="0" fontId="10" fillId="7" borderId="18" xfId="0" applyFont="1" applyFill="1" applyBorder="1" applyAlignment="1" applyProtection="1">
      <alignment horizontal="center" vertical="top" wrapText="1"/>
      <protection hidden="1"/>
    </xf>
    <xf numFmtId="0" fontId="10" fillId="7" borderId="23" xfId="0" applyFont="1" applyFill="1" applyBorder="1" applyAlignment="1" applyProtection="1">
      <alignment horizontal="center" vertical="top" wrapText="1"/>
      <protection hidden="1"/>
    </xf>
    <xf numFmtId="0" fontId="10" fillId="7" borderId="46" xfId="0" applyFont="1" applyFill="1" applyBorder="1" applyAlignment="1" applyProtection="1">
      <alignment horizontal="center" vertical="top" wrapText="1"/>
      <protection hidden="1"/>
    </xf>
    <xf numFmtId="0" fontId="10" fillId="7" borderId="47" xfId="0" applyFont="1" applyFill="1" applyBorder="1" applyAlignment="1" applyProtection="1">
      <alignment horizontal="center" vertical="top" wrapText="1"/>
      <protection hidden="1"/>
    </xf>
    <xf numFmtId="0" fontId="10" fillId="7" borderId="48" xfId="0" applyFont="1" applyFill="1" applyBorder="1" applyAlignment="1" applyProtection="1">
      <alignment horizontal="center" vertical="top" wrapText="1"/>
      <protection hidden="1"/>
    </xf>
    <xf numFmtId="0" fontId="0" fillId="9" borderId="17" xfId="0" applyFill="1" applyBorder="1" applyAlignment="1" applyProtection="1">
      <alignment horizontal="center" vertical="top" wrapText="1"/>
      <protection locked="0"/>
    </xf>
    <xf numFmtId="0" fontId="0" fillId="9" borderId="18" xfId="0" applyFill="1" applyBorder="1" applyAlignment="1" applyProtection="1">
      <alignment horizontal="center" vertical="top" wrapText="1"/>
      <protection locked="0"/>
    </xf>
    <xf numFmtId="0" fontId="0" fillId="9" borderId="13" xfId="0" applyFill="1" applyBorder="1" applyAlignment="1" applyProtection="1">
      <alignment horizontal="center" vertical="top" wrapText="1"/>
      <protection locked="0"/>
    </xf>
    <xf numFmtId="0" fontId="3" fillId="3" borderId="6" xfId="0" applyFont="1" applyFill="1" applyBorder="1" applyAlignment="1" applyProtection="1">
      <alignment horizontal="center" vertical="top" wrapText="1"/>
      <protection locked="0"/>
    </xf>
    <xf numFmtId="0" fontId="3" fillId="3" borderId="8" xfId="0" applyFont="1" applyFill="1" applyBorder="1" applyAlignment="1" applyProtection="1">
      <alignment horizontal="center" vertical="top" wrapText="1"/>
      <protection locked="0"/>
    </xf>
    <xf numFmtId="0" fontId="3" fillId="3" borderId="10" xfId="0" applyFont="1" applyFill="1" applyBorder="1" applyAlignment="1" applyProtection="1">
      <alignment horizontal="center" vertical="top" wrapText="1"/>
      <protection locked="0"/>
    </xf>
    <xf numFmtId="0" fontId="3" fillId="3" borderId="40" xfId="0" applyFont="1" applyFill="1" applyBorder="1" applyAlignment="1" applyProtection="1">
      <alignment horizontal="center" vertical="top" wrapText="1"/>
      <protection locked="0"/>
    </xf>
    <xf numFmtId="0" fontId="0" fillId="3" borderId="17" xfId="0" applyFill="1" applyBorder="1" applyAlignment="1">
      <alignment horizontal="center" vertical="justify" shrinkToFit="1"/>
    </xf>
    <xf numFmtId="0" fontId="0" fillId="3" borderId="18" xfId="0" applyFill="1" applyBorder="1" applyAlignment="1">
      <alignment horizontal="center" vertical="justify" shrinkToFit="1"/>
    </xf>
    <xf numFmtId="0" fontId="0" fillId="3" borderId="13" xfId="0" applyFill="1" applyBorder="1" applyAlignment="1">
      <alignment horizontal="center" vertical="justify" shrinkToFit="1"/>
    </xf>
    <xf numFmtId="0" fontId="0" fillId="3" borderId="17" xfId="0" applyFill="1" applyBorder="1" applyAlignment="1">
      <alignment horizontal="center" vertical="justify"/>
    </xf>
    <xf numFmtId="0" fontId="0" fillId="3" borderId="18" xfId="0" applyFill="1" applyBorder="1" applyAlignment="1">
      <alignment horizontal="center" vertical="justify"/>
    </xf>
    <xf numFmtId="0" fontId="0" fillId="3" borderId="13" xfId="0" applyFill="1" applyBorder="1" applyAlignment="1">
      <alignment horizontal="center" vertical="justify"/>
    </xf>
    <xf numFmtId="0" fontId="0" fillId="11" borderId="15" xfId="0" applyFill="1" applyBorder="1" applyAlignment="1">
      <alignment horizontal="center" vertical="center"/>
    </xf>
    <xf numFmtId="0" fontId="0" fillId="11" borderId="2" xfId="0" applyFill="1" applyBorder="1" applyAlignment="1">
      <alignment horizontal="center" vertical="center"/>
    </xf>
    <xf numFmtId="0" fontId="2" fillId="0" borderId="0" xfId="0" applyFont="1" applyBorder="1" applyAlignment="1" applyProtection="1">
      <alignment horizontal="center"/>
      <protection locked="0"/>
    </xf>
    <xf numFmtId="164" fontId="2" fillId="2" borderId="51" xfId="0" applyNumberFormat="1" applyFont="1" applyFill="1" applyBorder="1" applyAlignment="1" applyProtection="1">
      <alignment horizontal="center"/>
      <protection locked="0"/>
    </xf>
    <xf numFmtId="0" fontId="3" fillId="3" borderId="36" xfId="0" applyFont="1" applyFill="1" applyBorder="1" applyAlignment="1" applyProtection="1">
      <alignment horizontal="center" vertical="top" wrapText="1"/>
      <protection hidden="1"/>
    </xf>
    <xf numFmtId="0" fontId="3" fillId="3" borderId="19" xfId="0" applyFont="1" applyFill="1" applyBorder="1" applyAlignment="1" applyProtection="1">
      <alignment horizontal="center" vertical="top" wrapText="1"/>
      <protection hidden="1"/>
    </xf>
    <xf numFmtId="0" fontId="3" fillId="3" borderId="20" xfId="0" applyFont="1" applyFill="1" applyBorder="1" applyAlignment="1" applyProtection="1">
      <alignment horizontal="center" vertical="top" wrapText="1"/>
      <protection hidden="1"/>
    </xf>
    <xf numFmtId="0" fontId="0" fillId="3" borderId="39" xfId="0" applyFill="1" applyBorder="1" applyAlignment="1" applyProtection="1">
      <alignment vertical="top" wrapText="1"/>
      <protection locked="0"/>
    </xf>
    <xf numFmtId="0" fontId="0" fillId="3" borderId="49" xfId="0" applyFill="1" applyBorder="1" applyAlignment="1" applyProtection="1">
      <alignment vertical="top" wrapText="1"/>
      <protection locked="0"/>
    </xf>
    <xf numFmtId="0" fontId="0" fillId="3" borderId="50" xfId="0" applyFill="1" applyBorder="1" applyAlignment="1" applyProtection="1">
      <alignment vertical="top" wrapText="1"/>
      <protection locked="0"/>
    </xf>
    <xf numFmtId="0" fontId="3" fillId="3" borderId="3" xfId="0" applyFont="1" applyFill="1" applyBorder="1" applyAlignment="1" applyProtection="1">
      <alignment vertical="top" wrapText="1"/>
      <protection locked="0"/>
    </xf>
    <xf numFmtId="0" fontId="3" fillId="3" borderId="44" xfId="0" applyFont="1" applyFill="1" applyBorder="1" applyAlignment="1" applyProtection="1">
      <alignment vertical="top" wrapText="1"/>
      <protection locked="0"/>
    </xf>
    <xf numFmtId="0" fontId="3" fillId="3" borderId="45" xfId="0" applyFont="1" applyFill="1" applyBorder="1" applyAlignment="1" applyProtection="1">
      <alignment vertical="top" wrapText="1"/>
      <protection locked="0"/>
    </xf>
    <xf numFmtId="0" fontId="3" fillId="3" borderId="42" xfId="0" applyFont="1" applyFill="1" applyBorder="1" applyAlignment="1" applyProtection="1">
      <alignment vertical="top" wrapText="1"/>
      <protection locked="0"/>
    </xf>
    <xf numFmtId="0" fontId="3" fillId="3" borderId="26" xfId="0" applyFont="1" applyFill="1" applyBorder="1" applyAlignment="1" applyProtection="1">
      <alignment horizontal="center" vertical="top" wrapText="1"/>
      <protection locked="0"/>
    </xf>
    <xf numFmtId="0" fontId="4" fillId="3" borderId="3" xfId="0" applyFont="1" applyFill="1" applyBorder="1" applyAlignment="1" applyProtection="1">
      <alignment horizontal="center" vertical="top" wrapText="1"/>
      <protection locked="0"/>
    </xf>
    <xf numFmtId="0" fontId="4" fillId="3" borderId="44" xfId="0" applyFont="1" applyFill="1" applyBorder="1" applyAlignment="1" applyProtection="1">
      <alignment horizontal="center" vertical="top" wrapText="1"/>
      <protection locked="0"/>
    </xf>
    <xf numFmtId="0" fontId="4" fillId="3" borderId="45" xfId="0" applyFont="1" applyFill="1" applyBorder="1" applyAlignment="1" applyProtection="1">
      <alignment horizontal="center" vertical="top" wrapText="1"/>
      <protection locked="0"/>
    </xf>
    <xf numFmtId="0" fontId="4" fillId="3" borderId="42" xfId="0" applyFont="1" applyFill="1" applyBorder="1" applyAlignment="1" applyProtection="1">
      <alignment horizontal="center" vertical="top" wrapText="1"/>
      <protection locked="0"/>
    </xf>
    <xf numFmtId="0" fontId="5" fillId="3" borderId="36" xfId="0" applyFont="1" applyFill="1" applyBorder="1" applyAlignment="1" applyProtection="1">
      <alignment horizontal="center" vertical="top" wrapText="1"/>
      <protection locked="0"/>
    </xf>
    <xf numFmtId="0" fontId="5" fillId="3" borderId="19" xfId="0" applyFont="1" applyFill="1" applyBorder="1" applyAlignment="1" applyProtection="1">
      <alignment horizontal="center" vertical="top" wrapText="1"/>
      <protection locked="0"/>
    </xf>
    <xf numFmtId="0" fontId="5" fillId="3" borderId="20" xfId="0" applyFont="1" applyFill="1" applyBorder="1" applyAlignment="1" applyProtection="1">
      <alignment horizontal="center" vertical="top" wrapText="1"/>
      <protection locked="0"/>
    </xf>
    <xf numFmtId="0" fontId="5" fillId="3" borderId="32" xfId="0" applyFont="1" applyFill="1" applyBorder="1" applyAlignment="1" applyProtection="1">
      <alignment horizontal="center" vertical="top" wrapText="1"/>
      <protection hidden="1"/>
    </xf>
    <xf numFmtId="0" fontId="5" fillId="3" borderId="18" xfId="0" applyFont="1" applyFill="1" applyBorder="1" applyAlignment="1" applyProtection="1">
      <alignment horizontal="center" vertical="top" wrapText="1"/>
      <protection hidden="1"/>
    </xf>
    <xf numFmtId="0" fontId="5" fillId="3" borderId="23" xfId="0" applyFont="1" applyFill="1" applyBorder="1" applyAlignment="1" applyProtection="1">
      <alignment horizontal="center" vertical="top" wrapText="1"/>
      <protection hidden="1"/>
    </xf>
    <xf numFmtId="0" fontId="5" fillId="7" borderId="32" xfId="0" applyFont="1" applyFill="1" applyBorder="1" applyAlignment="1" applyProtection="1">
      <alignment horizontal="center" vertical="top" wrapText="1"/>
      <protection hidden="1"/>
    </xf>
    <xf numFmtId="0" fontId="5" fillId="7" borderId="18" xfId="0" applyFont="1" applyFill="1" applyBorder="1" applyAlignment="1" applyProtection="1">
      <alignment horizontal="center" vertical="top" wrapText="1"/>
      <protection hidden="1"/>
    </xf>
    <xf numFmtId="0" fontId="5" fillId="7" borderId="23" xfId="0" applyFont="1" applyFill="1" applyBorder="1" applyAlignment="1" applyProtection="1">
      <alignment horizontal="center" vertical="top" wrapText="1"/>
      <protection hidden="1"/>
    </xf>
    <xf numFmtId="0" fontId="6" fillId="7" borderId="32" xfId="0" applyFont="1" applyFill="1" applyBorder="1" applyAlignment="1" applyProtection="1">
      <alignment horizontal="center" vertical="top" wrapText="1"/>
      <protection locked="0"/>
    </xf>
    <xf numFmtId="0" fontId="6" fillId="7" borderId="18" xfId="0" applyFont="1" applyFill="1" applyBorder="1" applyAlignment="1" applyProtection="1">
      <alignment horizontal="center" vertical="top" wrapText="1"/>
      <protection locked="0"/>
    </xf>
    <xf numFmtId="0" fontId="6" fillId="7" borderId="23" xfId="0" applyFont="1" applyFill="1" applyBorder="1" applyAlignment="1" applyProtection="1">
      <alignment horizontal="center" vertical="top" wrapText="1"/>
      <protection locked="0"/>
    </xf>
    <xf numFmtId="0" fontId="10" fillId="3" borderId="32" xfId="0" applyFont="1" applyFill="1" applyBorder="1" applyAlignment="1" applyProtection="1">
      <alignment horizontal="center" vertical="top" wrapText="1"/>
      <protection locked="0"/>
    </xf>
    <xf numFmtId="0" fontId="10" fillId="3" borderId="18" xfId="0" applyFont="1" applyFill="1" applyBorder="1" applyAlignment="1" applyProtection="1">
      <alignment horizontal="center" vertical="top" wrapText="1"/>
      <protection locked="0"/>
    </xf>
    <xf numFmtId="0" fontId="10" fillId="3" borderId="23" xfId="0" applyFont="1" applyFill="1" applyBorder="1" applyAlignment="1" applyProtection="1">
      <alignment horizontal="center" vertical="top" wrapText="1"/>
      <protection locked="0"/>
    </xf>
    <xf numFmtId="0" fontId="10" fillId="7" borderId="4" xfId="0" applyFont="1" applyFill="1" applyBorder="1" applyAlignment="1" applyProtection="1">
      <alignment horizontal="center" vertical="top" wrapText="1"/>
      <protection hidden="1"/>
    </xf>
    <xf numFmtId="0" fontId="0" fillId="7" borderId="52" xfId="0" applyFill="1" applyBorder="1" applyAlignment="1" applyProtection="1">
      <alignment horizontal="center" vertical="top" wrapText="1"/>
      <protection hidden="1"/>
    </xf>
    <xf numFmtId="0" fontId="0" fillId="7" borderId="14" xfId="0" applyFill="1" applyBorder="1" applyAlignment="1" applyProtection="1">
      <alignment horizontal="center" vertical="top" wrapText="1"/>
      <protection hidden="1"/>
    </xf>
    <xf numFmtId="0" fontId="0" fillId="7" borderId="12" xfId="0" applyFill="1" applyBorder="1" applyAlignment="1" applyProtection="1">
      <alignment horizontal="center" vertical="top" wrapText="1"/>
      <protection hidden="1"/>
    </xf>
    <xf numFmtId="0" fontId="12" fillId="4" borderId="4" xfId="0" applyFont="1" applyFill="1" applyBorder="1" applyAlignment="1">
      <alignment horizontal="center" vertical="center" textRotation="180"/>
    </xf>
    <xf numFmtId="0" fontId="9" fillId="16" borderId="15" xfId="0" applyFont="1" applyFill="1" applyBorder="1" applyAlignment="1">
      <alignment horizontal="left" wrapText="1"/>
    </xf>
    <xf numFmtId="0" fontId="9" fillId="16" borderId="1" xfId="0" applyFont="1" applyFill="1" applyBorder="1" applyAlignment="1">
      <alignment horizontal="left" wrapText="1"/>
    </xf>
    <xf numFmtId="0" fontId="9" fillId="16" borderId="38" xfId="0" applyFont="1" applyFill="1" applyBorder="1" applyAlignment="1">
      <alignment horizontal="left" wrapText="1"/>
    </xf>
    <xf numFmtId="0" fontId="12" fillId="4" borderId="17" xfId="0" applyFont="1" applyFill="1" applyBorder="1" applyAlignment="1">
      <alignment horizontal="center" vertical="center" textRotation="180"/>
    </xf>
    <xf numFmtId="0" fontId="12" fillId="4" borderId="18" xfId="0" applyFont="1" applyFill="1" applyBorder="1" applyAlignment="1">
      <alignment horizontal="center" vertical="center" textRotation="180"/>
    </xf>
    <xf numFmtId="0" fontId="12" fillId="4" borderId="13" xfId="0" applyFont="1" applyFill="1" applyBorder="1" applyAlignment="1">
      <alignment horizontal="center" vertical="center" textRotation="180"/>
    </xf>
    <xf numFmtId="0" fontId="0" fillId="0" borderId="6" xfId="0" applyBorder="1" applyAlignment="1" applyProtection="1">
      <alignment horizontal="center" vertical="center" wrapText="1"/>
      <protection locked="0"/>
    </xf>
    <xf numFmtId="0" fontId="0" fillId="0" borderId="40" xfId="0" applyBorder="1" applyAlignment="1" applyProtection="1">
      <alignment horizontal="center" vertical="center" wrapText="1"/>
      <protection locked="0"/>
    </xf>
  </cellXfs>
  <cellStyles count="2">
    <cellStyle name="Normal" xfId="0" builtinId="0"/>
    <cellStyle name="Percent" xfId="1" builtinId="5"/>
  </cellStyles>
  <dxfs count="5">
    <dxf>
      <font>
        <condense val="0"/>
        <extend val="0"/>
        <u val="double"/>
        <color indexed="8"/>
      </font>
    </dxf>
    <dxf>
      <font>
        <condense val="0"/>
        <extend val="0"/>
        <u val="double"/>
        <color indexed="8"/>
      </font>
    </dxf>
    <dxf>
      <font>
        <condense val="0"/>
        <extend val="0"/>
        <u val="double"/>
        <color indexed="8"/>
      </font>
    </dxf>
    <dxf>
      <font>
        <condense val="0"/>
        <extend val="0"/>
        <u val="double"/>
        <color indexed="8"/>
      </font>
    </dxf>
    <dxf>
      <font>
        <condense val="0"/>
        <extend val="0"/>
        <u val="double"/>
        <color indexed="8"/>
      </font>
    </dxf>
  </dxfs>
  <tableStyles count="0" defaultTableStyle="TableStyleMedium9" defaultPivotStyle="PivotStyleLight16"/>
  <colors>
    <mruColors>
      <color rgb="FF8DB0E3"/>
      <color rgb="FFFFFF99"/>
      <color rgb="FF0099FF"/>
      <color rgb="FFCCFFFF"/>
      <color rgb="FF33CCFF"/>
      <color rgb="FF00CC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CK83"/>
  <sheetViews>
    <sheetView topLeftCell="A2" workbookViewId="0">
      <pane xSplit="2" ySplit="4" topLeftCell="C24" activePane="bottomRight" state="frozen"/>
      <selection activeCell="A2" sqref="A2"/>
      <selection pane="topRight" activeCell="C2" sqref="C2"/>
      <selection pane="bottomLeft" activeCell="A6" sqref="A6"/>
      <selection pane="bottomRight" activeCell="N22" sqref="N22"/>
    </sheetView>
  </sheetViews>
  <sheetFormatPr defaultRowHeight="15"/>
  <cols>
    <col min="2" max="2" width="9.42578125" bestFit="1" customWidth="1"/>
    <col min="5" max="5" width="9.28515625" bestFit="1" customWidth="1"/>
    <col min="22" max="22" width="9.5703125" customWidth="1"/>
    <col min="25" max="25" width="9.28515625" customWidth="1"/>
    <col min="37" max="37" width="10.85546875" customWidth="1"/>
    <col min="39" max="39" width="11" customWidth="1"/>
    <col min="40" max="40" width="10.5703125" customWidth="1"/>
    <col min="41" max="41" width="9.42578125" customWidth="1"/>
    <col min="42" max="42" width="11.5703125" customWidth="1"/>
    <col min="66" max="66" width="9.5703125" bestFit="1" customWidth="1"/>
    <col min="79" max="79" width="12.42578125" customWidth="1"/>
    <col min="80" max="80" width="12" customWidth="1"/>
    <col min="81" max="81" width="8.28515625" customWidth="1"/>
    <col min="82" max="82" width="10" customWidth="1"/>
  </cols>
  <sheetData>
    <row r="1" spans="1:85" ht="18">
      <c r="B1" s="489" t="s">
        <v>0</v>
      </c>
      <c r="C1" s="489"/>
      <c r="D1" s="489"/>
      <c r="E1" s="489"/>
      <c r="F1" s="489"/>
      <c r="G1" s="489"/>
      <c r="H1" s="489"/>
      <c r="I1" s="489"/>
      <c r="J1" s="489"/>
      <c r="K1" s="489"/>
      <c r="L1" s="489"/>
      <c r="M1" s="489"/>
      <c r="N1" s="489"/>
      <c r="O1" s="489"/>
      <c r="P1" s="489"/>
      <c r="Q1" s="489"/>
      <c r="R1" s="489"/>
      <c r="S1" s="489"/>
      <c r="T1" s="489"/>
      <c r="U1" s="489"/>
      <c r="V1" s="489"/>
      <c r="W1" s="489"/>
      <c r="X1" s="489"/>
      <c r="Y1" s="489"/>
      <c r="Z1" s="1"/>
      <c r="AA1" s="2"/>
      <c r="AB1" s="2"/>
      <c r="AC1" s="2"/>
      <c r="AD1" s="2"/>
      <c r="AE1" s="3"/>
      <c r="AF1" s="3"/>
      <c r="AG1" s="3"/>
      <c r="AH1" s="3"/>
      <c r="AI1" s="3"/>
      <c r="AJ1" s="3"/>
      <c r="AK1" s="3"/>
      <c r="AL1" s="3"/>
      <c r="AM1" s="3"/>
      <c r="AS1" s="4"/>
      <c r="BA1" s="4"/>
      <c r="BS1" s="4"/>
      <c r="BT1" s="5"/>
      <c r="BU1" s="5"/>
      <c r="BV1" s="6"/>
    </row>
    <row r="2" spans="1:85" ht="18.75" thickBot="1">
      <c r="B2" s="490">
        <v>43101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7"/>
      <c r="AI2" s="7"/>
      <c r="AJ2" s="7"/>
      <c r="AK2" s="8"/>
      <c r="AL2" s="8"/>
      <c r="AM2" s="8"/>
      <c r="AN2" s="8"/>
      <c r="AO2" s="8"/>
      <c r="AP2" s="8"/>
      <c r="AQ2" s="8"/>
      <c r="AR2" s="8"/>
      <c r="AS2" s="9"/>
      <c r="AT2" s="10"/>
      <c r="AU2" s="10"/>
      <c r="AV2" s="10"/>
      <c r="AW2" s="10"/>
      <c r="AX2" s="10"/>
      <c r="AY2" s="11"/>
      <c r="AZ2" s="11"/>
      <c r="BA2" s="4"/>
      <c r="BS2" s="4"/>
      <c r="BT2" s="5"/>
      <c r="BU2" s="5"/>
      <c r="BV2" s="6"/>
    </row>
    <row r="3" spans="1:85" ht="30" customHeight="1" thickBot="1">
      <c r="A3" s="12"/>
      <c r="B3" s="491" t="s">
        <v>1</v>
      </c>
      <c r="C3" s="442" t="s">
        <v>2</v>
      </c>
      <c r="D3" s="494" t="s">
        <v>3</v>
      </c>
      <c r="E3" s="442" t="s">
        <v>130</v>
      </c>
      <c r="F3" s="497" t="s">
        <v>4</v>
      </c>
      <c r="G3" s="498"/>
      <c r="H3" s="477" t="s">
        <v>5</v>
      </c>
      <c r="I3" s="501"/>
      <c r="J3" s="501"/>
      <c r="K3" s="480"/>
      <c r="L3" s="477" t="s">
        <v>6</v>
      </c>
      <c r="M3" s="501"/>
      <c r="N3" s="501"/>
      <c r="O3" s="480"/>
      <c r="P3" s="502" t="s">
        <v>7</v>
      </c>
      <c r="Q3" s="503"/>
      <c r="R3" s="506" t="s">
        <v>8</v>
      </c>
      <c r="S3" s="422" t="s">
        <v>9</v>
      </c>
      <c r="T3" s="425" t="s">
        <v>10</v>
      </c>
      <c r="U3" s="433" t="s">
        <v>11</v>
      </c>
      <c r="V3" s="436" t="s">
        <v>12</v>
      </c>
      <c r="W3" s="439" t="s">
        <v>13</v>
      </c>
      <c r="X3" s="439" t="s">
        <v>14</v>
      </c>
      <c r="Y3" s="439" t="s">
        <v>15</v>
      </c>
      <c r="Z3" s="439" t="s">
        <v>16</v>
      </c>
      <c r="AA3" s="439" t="s">
        <v>17</v>
      </c>
      <c r="AB3" s="439" t="s">
        <v>18</v>
      </c>
      <c r="AC3" s="515" t="s">
        <v>19</v>
      </c>
      <c r="AD3" s="512" t="s">
        <v>20</v>
      </c>
      <c r="AE3" s="509" t="s">
        <v>21</v>
      </c>
      <c r="AF3" s="512" t="s">
        <v>22</v>
      </c>
      <c r="AG3" s="465" t="s">
        <v>23</v>
      </c>
      <c r="AH3" s="465" t="s">
        <v>24</v>
      </c>
      <c r="AI3" s="465" t="s">
        <v>25</v>
      </c>
      <c r="AJ3" s="468" t="s">
        <v>26</v>
      </c>
      <c r="AK3" s="518" t="s">
        <v>27</v>
      </c>
      <c r="AL3" s="419" t="s">
        <v>28</v>
      </c>
      <c r="AM3" s="468" t="s">
        <v>29</v>
      </c>
      <c r="AN3" s="419" t="s">
        <v>30</v>
      </c>
      <c r="AO3" s="419" t="s">
        <v>31</v>
      </c>
      <c r="AP3" s="468" t="s">
        <v>32</v>
      </c>
      <c r="AQ3" s="471" t="s">
        <v>33</v>
      </c>
      <c r="AR3" s="459" t="s">
        <v>34</v>
      </c>
      <c r="AS3" s="13"/>
      <c r="AT3" s="462" t="s">
        <v>35</v>
      </c>
      <c r="AU3" s="447" t="s">
        <v>36</v>
      </c>
      <c r="AV3" s="447" t="s">
        <v>37</v>
      </c>
      <c r="AW3" s="447" t="s">
        <v>38</v>
      </c>
      <c r="AX3" s="447" t="s">
        <v>39</v>
      </c>
      <c r="AY3" s="447" t="s">
        <v>40</v>
      </c>
      <c r="AZ3" s="447" t="s">
        <v>41</v>
      </c>
      <c r="BA3" s="4"/>
      <c r="BB3" s="447" t="s">
        <v>42</v>
      </c>
      <c r="BC3" s="447" t="s">
        <v>43</v>
      </c>
      <c r="BD3" s="447" t="s">
        <v>44</v>
      </c>
      <c r="BE3" s="447" t="s">
        <v>45</v>
      </c>
      <c r="BF3" s="447" t="s">
        <v>46</v>
      </c>
      <c r="BG3" s="447" t="s">
        <v>47</v>
      </c>
      <c r="BH3" s="14" t="s">
        <v>48</v>
      </c>
      <c r="BI3" s="14" t="s">
        <v>49</v>
      </c>
      <c r="BJ3" s="14" t="s">
        <v>50</v>
      </c>
      <c r="BK3" s="14" t="s">
        <v>51</v>
      </c>
      <c r="BL3" s="445" t="s">
        <v>52</v>
      </c>
      <c r="BM3" s="446"/>
      <c r="BN3" s="14" t="s">
        <v>53</v>
      </c>
      <c r="BO3" s="14" t="s">
        <v>54</v>
      </c>
      <c r="BP3" s="447" t="s">
        <v>55</v>
      </c>
      <c r="BQ3" s="484" t="s">
        <v>56</v>
      </c>
      <c r="BR3" s="484" t="s">
        <v>57</v>
      </c>
      <c r="BS3" s="15"/>
      <c r="BT3" s="481" t="s">
        <v>58</v>
      </c>
      <c r="BU3" s="481" t="s">
        <v>59</v>
      </c>
      <c r="BV3" s="6"/>
      <c r="BW3" s="14" t="s">
        <v>60</v>
      </c>
      <c r="BX3" s="447" t="s">
        <v>61</v>
      </c>
      <c r="BY3" s="447" t="s">
        <v>62</v>
      </c>
      <c r="CA3" s="474" t="s">
        <v>63</v>
      </c>
      <c r="CB3" s="474" t="s">
        <v>64</v>
      </c>
      <c r="CD3" s="487" t="s">
        <v>124</v>
      </c>
      <c r="CE3" s="488"/>
      <c r="CF3" s="487" t="s">
        <v>128</v>
      </c>
      <c r="CG3" s="488"/>
    </row>
    <row r="4" spans="1:85" ht="40.5" customHeight="1" thickBot="1">
      <c r="A4" s="16"/>
      <c r="B4" s="492"/>
      <c r="C4" s="443"/>
      <c r="D4" s="495"/>
      <c r="E4" s="443"/>
      <c r="F4" s="499"/>
      <c r="G4" s="500"/>
      <c r="H4" s="477" t="s">
        <v>65</v>
      </c>
      <c r="I4" s="478"/>
      <c r="J4" s="479" t="s">
        <v>66</v>
      </c>
      <c r="K4" s="480"/>
      <c r="L4" s="477" t="s">
        <v>65</v>
      </c>
      <c r="M4" s="478"/>
      <c r="N4" s="479" t="s">
        <v>66</v>
      </c>
      <c r="O4" s="480"/>
      <c r="P4" s="504"/>
      <c r="Q4" s="505"/>
      <c r="R4" s="507"/>
      <c r="S4" s="423"/>
      <c r="T4" s="426"/>
      <c r="U4" s="434"/>
      <c r="V4" s="437"/>
      <c r="W4" s="440"/>
      <c r="X4" s="440"/>
      <c r="Y4" s="440"/>
      <c r="Z4" s="440"/>
      <c r="AA4" s="440"/>
      <c r="AB4" s="440"/>
      <c r="AC4" s="516"/>
      <c r="AD4" s="513"/>
      <c r="AE4" s="510"/>
      <c r="AF4" s="513"/>
      <c r="AG4" s="466"/>
      <c r="AH4" s="466"/>
      <c r="AI4" s="466"/>
      <c r="AJ4" s="469"/>
      <c r="AK4" s="519"/>
      <c r="AL4" s="420"/>
      <c r="AM4" s="469"/>
      <c r="AN4" s="420"/>
      <c r="AO4" s="420"/>
      <c r="AP4" s="469"/>
      <c r="AQ4" s="472"/>
      <c r="AR4" s="460"/>
      <c r="AS4" s="13"/>
      <c r="AT4" s="463"/>
      <c r="AU4" s="440"/>
      <c r="AV4" s="440"/>
      <c r="AW4" s="440"/>
      <c r="AX4" s="440"/>
      <c r="AY4" s="440"/>
      <c r="AZ4" s="440"/>
      <c r="BA4" s="4"/>
      <c r="BB4" s="440"/>
      <c r="BC4" s="440"/>
      <c r="BD4" s="440"/>
      <c r="BE4" s="440"/>
      <c r="BF4" s="440"/>
      <c r="BG4" s="440"/>
      <c r="BH4" s="457" t="s">
        <v>67</v>
      </c>
      <c r="BI4" s="457" t="s">
        <v>67</v>
      </c>
      <c r="BJ4" s="17" t="s">
        <v>68</v>
      </c>
      <c r="BK4" s="449" t="s">
        <v>69</v>
      </c>
      <c r="BL4" s="449" t="s">
        <v>69</v>
      </c>
      <c r="BM4" s="449" t="s">
        <v>70</v>
      </c>
      <c r="BN4" s="457" t="s">
        <v>71</v>
      </c>
      <c r="BO4" s="457" t="s">
        <v>72</v>
      </c>
      <c r="BP4" s="440"/>
      <c r="BQ4" s="485"/>
      <c r="BR4" s="485"/>
      <c r="BS4" s="15"/>
      <c r="BT4" s="482"/>
      <c r="BU4" s="482"/>
      <c r="BV4" s="6"/>
      <c r="BW4" s="457" t="s">
        <v>67</v>
      </c>
      <c r="BX4" s="440"/>
      <c r="BY4" s="440"/>
      <c r="CA4" s="475"/>
      <c r="CB4" s="475"/>
      <c r="CD4" s="211" t="s">
        <v>129</v>
      </c>
      <c r="CE4" s="210" t="s">
        <v>125</v>
      </c>
      <c r="CF4" s="211" t="s">
        <v>129</v>
      </c>
      <c r="CG4" s="210" t="s">
        <v>125</v>
      </c>
    </row>
    <row r="5" spans="1:85" ht="13.7" customHeight="1" thickBot="1">
      <c r="A5" s="16"/>
      <c r="B5" s="493"/>
      <c r="C5" s="444"/>
      <c r="D5" s="496"/>
      <c r="E5" s="444"/>
      <c r="F5" s="18" t="s">
        <v>73</v>
      </c>
      <c r="G5" s="19" t="s">
        <v>74</v>
      </c>
      <c r="H5" s="20" t="s">
        <v>75</v>
      </c>
      <c r="I5" s="21" t="s">
        <v>76</v>
      </c>
      <c r="J5" s="21" t="s">
        <v>75</v>
      </c>
      <c r="K5" s="22" t="s">
        <v>76</v>
      </c>
      <c r="L5" s="23" t="s">
        <v>75</v>
      </c>
      <c r="M5" s="21" t="s">
        <v>76</v>
      </c>
      <c r="N5" s="21" t="s">
        <v>75</v>
      </c>
      <c r="O5" s="19" t="s">
        <v>76</v>
      </c>
      <c r="P5" s="21" t="s">
        <v>75</v>
      </c>
      <c r="Q5" s="19" t="s">
        <v>76</v>
      </c>
      <c r="R5" s="508"/>
      <c r="S5" s="424"/>
      <c r="T5" s="427"/>
      <c r="U5" s="435"/>
      <c r="V5" s="438"/>
      <c r="W5" s="441"/>
      <c r="X5" s="441"/>
      <c r="Y5" s="441"/>
      <c r="Z5" s="441"/>
      <c r="AA5" s="441"/>
      <c r="AB5" s="441"/>
      <c r="AC5" s="517"/>
      <c r="AD5" s="514"/>
      <c r="AE5" s="511"/>
      <c r="AF5" s="514"/>
      <c r="AG5" s="467"/>
      <c r="AH5" s="467"/>
      <c r="AI5" s="467"/>
      <c r="AJ5" s="470"/>
      <c r="AK5" s="520"/>
      <c r="AL5" s="421"/>
      <c r="AM5" s="470"/>
      <c r="AN5" s="421"/>
      <c r="AO5" s="421"/>
      <c r="AP5" s="470"/>
      <c r="AQ5" s="473"/>
      <c r="AR5" s="461"/>
      <c r="AS5" s="13"/>
      <c r="AT5" s="464"/>
      <c r="AU5" s="448"/>
      <c r="AV5" s="448"/>
      <c r="AW5" s="448"/>
      <c r="AX5" s="448"/>
      <c r="AY5" s="448"/>
      <c r="AZ5" s="448"/>
      <c r="BA5" s="4"/>
      <c r="BB5" s="448"/>
      <c r="BC5" s="448"/>
      <c r="BD5" s="448"/>
      <c r="BE5" s="448"/>
      <c r="BF5" s="448"/>
      <c r="BG5" s="448"/>
      <c r="BH5" s="458"/>
      <c r="BI5" s="458"/>
      <c r="BJ5" s="17" t="s">
        <v>77</v>
      </c>
      <c r="BK5" s="450"/>
      <c r="BL5" s="450"/>
      <c r="BM5" s="450"/>
      <c r="BN5" s="458"/>
      <c r="BO5" s="458"/>
      <c r="BP5" s="448"/>
      <c r="BQ5" s="486"/>
      <c r="BR5" s="486"/>
      <c r="BS5" s="15"/>
      <c r="BT5" s="483"/>
      <c r="BU5" s="483"/>
      <c r="BV5" s="6"/>
      <c r="BW5" s="458"/>
      <c r="BX5" s="448"/>
      <c r="BY5" s="448"/>
      <c r="CA5" s="476"/>
      <c r="CB5" s="476"/>
      <c r="CD5" s="213" t="s">
        <v>126</v>
      </c>
      <c r="CE5" s="212" t="s">
        <v>127</v>
      </c>
      <c r="CF5" s="213" t="s">
        <v>126</v>
      </c>
      <c r="CG5" s="212" t="s">
        <v>127</v>
      </c>
    </row>
    <row r="6" spans="1:85" ht="12.75" customHeight="1">
      <c r="A6" s="451" t="s">
        <v>78</v>
      </c>
      <c r="B6" s="24">
        <v>43101</v>
      </c>
      <c r="C6" s="25">
        <v>57.8</v>
      </c>
      <c r="D6" s="26">
        <v>0.65400000000000003</v>
      </c>
      <c r="E6" s="38">
        <v>48.38</v>
      </c>
      <c r="F6" s="27">
        <v>72</v>
      </c>
      <c r="G6" s="27">
        <v>47</v>
      </c>
      <c r="H6" s="28">
        <v>24</v>
      </c>
      <c r="I6" s="28">
        <v>0</v>
      </c>
      <c r="J6" s="28">
        <v>24</v>
      </c>
      <c r="K6" s="28">
        <v>0</v>
      </c>
      <c r="L6" s="29">
        <v>0</v>
      </c>
      <c r="M6" s="29">
        <v>0</v>
      </c>
      <c r="N6" s="29">
        <v>0</v>
      </c>
      <c r="O6" s="29">
        <v>0</v>
      </c>
      <c r="P6" s="29">
        <v>24</v>
      </c>
      <c r="Q6" s="29">
        <v>0</v>
      </c>
      <c r="R6" s="29">
        <v>3716</v>
      </c>
      <c r="S6" s="30">
        <v>3660</v>
      </c>
      <c r="T6" s="30">
        <v>3660</v>
      </c>
      <c r="U6" s="31">
        <v>3585</v>
      </c>
      <c r="V6" s="31">
        <v>3692</v>
      </c>
      <c r="W6" s="28">
        <v>45</v>
      </c>
      <c r="X6" s="28">
        <v>0</v>
      </c>
      <c r="Y6" s="28">
        <v>48</v>
      </c>
      <c r="Z6" s="28">
        <v>0</v>
      </c>
      <c r="AA6" s="28">
        <v>60</v>
      </c>
      <c r="AB6" s="27">
        <v>0</v>
      </c>
      <c r="AC6" s="32">
        <f t="shared" ref="AC6:AC40" si="0">V6-U6+AZ6</f>
        <v>107</v>
      </c>
      <c r="AD6" s="33">
        <f t="shared" ref="AD6:AD40" si="1">U6-T6</f>
        <v>-75</v>
      </c>
      <c r="AE6" s="27">
        <v>157</v>
      </c>
      <c r="AF6" s="34">
        <f t="shared" ref="AF6:AF40" si="2">IF(AE6&gt;0, V6/(AE6*24),"no data")</f>
        <v>0.97983014861995754</v>
      </c>
      <c r="AG6" s="35">
        <f t="shared" ref="AG6:AG40" si="3">IF(R6&gt;0,R6/24,"no data")</f>
        <v>154.83333333333334</v>
      </c>
      <c r="AH6" s="34">
        <f t="shared" ref="AH6:AH40" si="4">IF(U6&gt;0,(U6/R6),"no data")</f>
        <v>0.96474703982777177</v>
      </c>
      <c r="AI6" s="36">
        <f t="shared" ref="AI6:AI40" si="5">(1440-((W6*X6)+(Y6*Z6)+(AA6*AB6))/(W6+Y6+AA6))/1440</f>
        <v>1</v>
      </c>
      <c r="AJ6" s="37">
        <f t="shared" ref="AJ6:AJ40" si="6">IF(U6&gt;0,(1440-((X6*W6+AT6*AU6)+(Z6*Y6+AV6*AW6)+(AA6*AB6+AX6*AY6))/(W6+Y6+AA6))/1440,"no data")</f>
        <v>1</v>
      </c>
      <c r="AK6" s="234">
        <v>11.021000000000001</v>
      </c>
      <c r="AL6" s="237">
        <v>138.08000000000001</v>
      </c>
      <c r="AM6" s="38">
        <f t="shared" ref="AM6:AM40" si="7">AK6*AL6</f>
        <v>1521.7796800000003</v>
      </c>
      <c r="AN6" s="234">
        <v>30.292000000000002</v>
      </c>
      <c r="AO6" s="231">
        <v>978</v>
      </c>
      <c r="AP6" s="39">
        <f t="shared" ref="AP6:AP40" si="8">AN6*AO6</f>
        <v>29625.576000000001</v>
      </c>
      <c r="AQ6" s="200">
        <f t="shared" ref="AQ6:AQ40" si="9">IF(U6&gt;0,((((AK6*AL6)+(AN6*AO6))/(U6*1000))*1000000),"no data")</f>
        <v>8688.2442622036269</v>
      </c>
      <c r="AR6" s="198">
        <f t="shared" ref="AR6:AR37" si="10">S6/24</f>
        <v>152.5</v>
      </c>
      <c r="AS6" s="13"/>
      <c r="AT6" s="27">
        <v>0</v>
      </c>
      <c r="AU6" s="40">
        <v>0</v>
      </c>
      <c r="AV6" s="40">
        <v>0</v>
      </c>
      <c r="AW6" s="27">
        <v>0</v>
      </c>
      <c r="AX6" s="40">
        <v>0</v>
      </c>
      <c r="AY6" s="27">
        <v>0</v>
      </c>
      <c r="AZ6" s="27">
        <v>0</v>
      </c>
      <c r="BA6" s="4"/>
      <c r="BB6" s="41">
        <v>1080</v>
      </c>
      <c r="BC6" s="41">
        <v>1151</v>
      </c>
      <c r="BD6" s="41">
        <v>1461</v>
      </c>
      <c r="BE6" s="41">
        <f t="shared" ref="BE6:BE40" si="11">BC6-BB6</f>
        <v>71</v>
      </c>
      <c r="BF6" s="41">
        <f t="shared" ref="BF6:BF42" si="12">AQ6</f>
        <v>8688.2442622036269</v>
      </c>
      <c r="BG6" s="42">
        <f t="shared" ref="BG6:BG40" si="13">BD6/24</f>
        <v>60.875</v>
      </c>
      <c r="BH6" s="43">
        <v>2.0510000000000002</v>
      </c>
      <c r="BI6" s="44">
        <v>2.0510000000000002</v>
      </c>
      <c r="BJ6" s="45">
        <v>28</v>
      </c>
      <c r="BK6" s="46">
        <v>27.57</v>
      </c>
      <c r="BL6" s="45">
        <v>22.83</v>
      </c>
      <c r="BM6" s="45">
        <v>32.520000000000003</v>
      </c>
      <c r="BN6" s="47">
        <v>997.4</v>
      </c>
      <c r="BO6" s="45">
        <v>50.05</v>
      </c>
      <c r="BP6" s="48">
        <v>0.93630000000000002</v>
      </c>
      <c r="BQ6" s="46">
        <v>89.61</v>
      </c>
      <c r="BR6" s="45">
        <v>83.99</v>
      </c>
      <c r="BS6" s="49">
        <f t="shared" ref="BS6:BS40" si="14">BR6-BQ6</f>
        <v>-5.6200000000000045</v>
      </c>
      <c r="BT6" s="205">
        <v>12005</v>
      </c>
      <c r="BU6" s="205">
        <v>11649</v>
      </c>
      <c r="BV6" s="206">
        <f t="shared" ref="BV6:BV40" si="15">BU6-BT6</f>
        <v>-356</v>
      </c>
      <c r="BW6" s="207">
        <f t="shared" ref="BW6:BW40" si="16">BH6+BI6</f>
        <v>4.1020000000000003</v>
      </c>
      <c r="BX6" s="208">
        <v>24</v>
      </c>
      <c r="BY6" s="208">
        <v>24</v>
      </c>
      <c r="BZ6" s="209"/>
      <c r="CA6" s="208">
        <v>13.72</v>
      </c>
      <c r="CB6" s="208">
        <v>1.07</v>
      </c>
      <c r="CD6" s="42">
        <v>2.2000000000000002</v>
      </c>
      <c r="CE6" s="208">
        <v>3.5</v>
      </c>
      <c r="CF6" s="57">
        <v>2.25</v>
      </c>
      <c r="CG6" s="42">
        <v>0.7</v>
      </c>
    </row>
    <row r="7" spans="1:85">
      <c r="A7" s="452"/>
      <c r="B7" s="24">
        <v>43102</v>
      </c>
      <c r="C7" s="25">
        <v>58.1</v>
      </c>
      <c r="D7" s="26">
        <v>0.64400000000000002</v>
      </c>
      <c r="E7" s="38">
        <v>48.58</v>
      </c>
      <c r="F7" s="27">
        <v>71</v>
      </c>
      <c r="G7" s="27">
        <v>47</v>
      </c>
      <c r="H7" s="28">
        <v>24</v>
      </c>
      <c r="I7" s="28">
        <v>0</v>
      </c>
      <c r="J7" s="28">
        <v>24</v>
      </c>
      <c r="K7" s="28">
        <v>0</v>
      </c>
      <c r="L7" s="29">
        <v>0</v>
      </c>
      <c r="M7" s="29">
        <v>0</v>
      </c>
      <c r="N7" s="29">
        <v>0</v>
      </c>
      <c r="O7" s="29">
        <v>0</v>
      </c>
      <c r="P7" s="29">
        <v>24</v>
      </c>
      <c r="Q7" s="29">
        <v>0</v>
      </c>
      <c r="R7" s="29">
        <v>3715</v>
      </c>
      <c r="S7" s="30">
        <v>3663</v>
      </c>
      <c r="T7" s="30">
        <v>3663</v>
      </c>
      <c r="U7" s="31">
        <v>3590</v>
      </c>
      <c r="V7" s="31">
        <v>3698</v>
      </c>
      <c r="W7" s="28">
        <v>45</v>
      </c>
      <c r="X7" s="28">
        <v>0</v>
      </c>
      <c r="Y7" s="28">
        <v>48</v>
      </c>
      <c r="Z7" s="28">
        <v>0</v>
      </c>
      <c r="AA7" s="28">
        <v>60</v>
      </c>
      <c r="AB7" s="27">
        <v>0</v>
      </c>
      <c r="AC7" s="32">
        <f t="shared" si="0"/>
        <v>108</v>
      </c>
      <c r="AD7" s="33">
        <f t="shared" si="1"/>
        <v>-73</v>
      </c>
      <c r="AE7" s="27">
        <v>156</v>
      </c>
      <c r="AF7" s="34">
        <f t="shared" si="2"/>
        <v>0.98771367521367526</v>
      </c>
      <c r="AG7" s="35">
        <f t="shared" si="3"/>
        <v>154.79166666666666</v>
      </c>
      <c r="AH7" s="34">
        <f t="shared" si="4"/>
        <v>0.96635262449528936</v>
      </c>
      <c r="AI7" s="36">
        <f t="shared" si="5"/>
        <v>1</v>
      </c>
      <c r="AJ7" s="37">
        <f t="shared" si="6"/>
        <v>1</v>
      </c>
      <c r="AK7" s="235">
        <v>11.055</v>
      </c>
      <c r="AL7" s="238">
        <v>136.80000000000001</v>
      </c>
      <c r="AM7" s="38">
        <f t="shared" si="7"/>
        <v>1512.3240000000001</v>
      </c>
      <c r="AN7" s="235">
        <v>30.428999999999998</v>
      </c>
      <c r="AO7" s="232">
        <v>981</v>
      </c>
      <c r="AP7" s="39">
        <f t="shared" si="8"/>
        <v>29850.848999999998</v>
      </c>
      <c r="AQ7" s="201">
        <f t="shared" si="9"/>
        <v>8736.2598885793868</v>
      </c>
      <c r="AR7" s="198">
        <f t="shared" si="10"/>
        <v>152.625</v>
      </c>
      <c r="AS7" s="13"/>
      <c r="AT7" s="27">
        <v>0</v>
      </c>
      <c r="AU7" s="40">
        <v>0</v>
      </c>
      <c r="AV7" s="40">
        <v>0</v>
      </c>
      <c r="AW7" s="27">
        <v>0</v>
      </c>
      <c r="AX7" s="40">
        <v>0</v>
      </c>
      <c r="AY7" s="27">
        <v>0</v>
      </c>
      <c r="AZ7" s="27">
        <v>0</v>
      </c>
      <c r="BA7" s="4"/>
      <c r="BB7" s="41">
        <v>1089</v>
      </c>
      <c r="BC7" s="41">
        <v>1140</v>
      </c>
      <c r="BD7" s="41">
        <v>1469</v>
      </c>
      <c r="BE7" s="41">
        <f t="shared" si="11"/>
        <v>51</v>
      </c>
      <c r="BF7" s="41">
        <f t="shared" si="12"/>
        <v>8736.2598885793868</v>
      </c>
      <c r="BG7" s="42">
        <f t="shared" si="13"/>
        <v>61.208333333333336</v>
      </c>
      <c r="BH7" s="43">
        <v>2.1139999999999999</v>
      </c>
      <c r="BI7" s="44">
        <v>2.1139999999999999</v>
      </c>
      <c r="BJ7" s="45">
        <v>28</v>
      </c>
      <c r="BK7" s="45">
        <v>27.68</v>
      </c>
      <c r="BL7" s="45">
        <v>22.72</v>
      </c>
      <c r="BM7" s="46">
        <v>31.99</v>
      </c>
      <c r="BN7" s="47">
        <v>997.4</v>
      </c>
      <c r="BO7" s="45">
        <v>49.97</v>
      </c>
      <c r="BP7" s="48">
        <v>0.93659999999999999</v>
      </c>
      <c r="BQ7" s="204">
        <v>90.76</v>
      </c>
      <c r="BR7" s="45">
        <v>83.83</v>
      </c>
      <c r="BS7" s="49">
        <f t="shared" si="14"/>
        <v>-6.9300000000000068</v>
      </c>
      <c r="BT7" s="205">
        <v>11945</v>
      </c>
      <c r="BU7" s="205">
        <v>11673</v>
      </c>
      <c r="BV7" s="206">
        <f t="shared" si="15"/>
        <v>-272</v>
      </c>
      <c r="BW7" s="207">
        <f t="shared" si="16"/>
        <v>4.2279999999999998</v>
      </c>
      <c r="BX7" s="208">
        <v>24</v>
      </c>
      <c r="BY7" s="208">
        <v>24</v>
      </c>
      <c r="BZ7" s="209"/>
      <c r="CA7" s="208">
        <v>16.600000000000001</v>
      </c>
      <c r="CB7" s="208">
        <v>5.73</v>
      </c>
      <c r="CD7" s="42">
        <v>2.1</v>
      </c>
      <c r="CE7" s="208">
        <v>3.5</v>
      </c>
      <c r="CF7" s="57">
        <v>2.25</v>
      </c>
      <c r="CG7" s="42">
        <v>0.7</v>
      </c>
    </row>
    <row r="8" spans="1:85">
      <c r="A8" s="452"/>
      <c r="B8" s="24">
        <v>43103</v>
      </c>
      <c r="C8" s="25">
        <v>57.3</v>
      </c>
      <c r="D8" s="26">
        <v>0.67510000000000003</v>
      </c>
      <c r="E8" s="38">
        <v>48.75</v>
      </c>
      <c r="F8" s="27">
        <v>70</v>
      </c>
      <c r="G8" s="27">
        <v>48</v>
      </c>
      <c r="H8" s="28">
        <v>24</v>
      </c>
      <c r="I8" s="28">
        <v>0</v>
      </c>
      <c r="J8" s="28">
        <v>24</v>
      </c>
      <c r="K8" s="28">
        <v>0</v>
      </c>
      <c r="L8" s="29">
        <v>0</v>
      </c>
      <c r="M8" s="29">
        <v>0</v>
      </c>
      <c r="N8" s="29">
        <v>0</v>
      </c>
      <c r="O8" s="29">
        <v>0</v>
      </c>
      <c r="P8" s="29">
        <v>24</v>
      </c>
      <c r="Q8" s="29">
        <v>0</v>
      </c>
      <c r="R8" s="29">
        <v>3719</v>
      </c>
      <c r="S8" s="203">
        <v>3667</v>
      </c>
      <c r="T8" s="30">
        <v>3667</v>
      </c>
      <c r="U8" s="31">
        <v>3598</v>
      </c>
      <c r="V8" s="31">
        <v>3706</v>
      </c>
      <c r="W8" s="28">
        <v>45</v>
      </c>
      <c r="X8" s="28">
        <v>0</v>
      </c>
      <c r="Y8" s="28">
        <v>48</v>
      </c>
      <c r="Z8" s="28">
        <v>0</v>
      </c>
      <c r="AA8" s="28">
        <v>61</v>
      </c>
      <c r="AB8" s="27">
        <v>0</v>
      </c>
      <c r="AC8" s="32">
        <f t="shared" si="0"/>
        <v>108</v>
      </c>
      <c r="AD8" s="33">
        <f t="shared" si="1"/>
        <v>-69</v>
      </c>
      <c r="AE8" s="27">
        <v>157</v>
      </c>
      <c r="AF8" s="34">
        <f t="shared" si="2"/>
        <v>0.98354564755838636</v>
      </c>
      <c r="AG8" s="35">
        <f t="shared" si="3"/>
        <v>154.95833333333334</v>
      </c>
      <c r="AH8" s="34">
        <f t="shared" si="4"/>
        <v>0.96746437214304926</v>
      </c>
      <c r="AI8" s="36">
        <f t="shared" si="5"/>
        <v>1</v>
      </c>
      <c r="AJ8" s="37">
        <f t="shared" si="6"/>
        <v>1</v>
      </c>
      <c r="AK8" s="235">
        <v>11.074999999999999</v>
      </c>
      <c r="AL8" s="239">
        <v>137.72</v>
      </c>
      <c r="AM8" s="38">
        <f t="shared" si="7"/>
        <v>1525.2489999999998</v>
      </c>
      <c r="AN8" s="235">
        <v>30.338000000000001</v>
      </c>
      <c r="AO8" s="232">
        <v>978.904</v>
      </c>
      <c r="AP8" s="39">
        <f t="shared" si="8"/>
        <v>29697.989551999999</v>
      </c>
      <c r="AQ8" s="201">
        <f t="shared" si="9"/>
        <v>8677.9428993885485</v>
      </c>
      <c r="AR8" s="198">
        <f t="shared" si="10"/>
        <v>152.79166666666666</v>
      </c>
      <c r="AS8" s="13"/>
      <c r="AT8" s="27">
        <v>0</v>
      </c>
      <c r="AU8" s="40">
        <v>0</v>
      </c>
      <c r="AV8" s="40">
        <v>0</v>
      </c>
      <c r="AW8" s="27">
        <v>0</v>
      </c>
      <c r="AX8" s="40">
        <v>0</v>
      </c>
      <c r="AY8" s="27">
        <v>0</v>
      </c>
      <c r="AZ8" s="27">
        <v>0</v>
      </c>
      <c r="BA8" s="4"/>
      <c r="BB8" s="41">
        <v>1095</v>
      </c>
      <c r="BC8" s="41">
        <v>1141</v>
      </c>
      <c r="BD8" s="41">
        <v>1470</v>
      </c>
      <c r="BE8" s="41">
        <f t="shared" si="11"/>
        <v>46</v>
      </c>
      <c r="BF8" s="41">
        <f t="shared" si="12"/>
        <v>8677.9428993885485</v>
      </c>
      <c r="BG8" s="42">
        <f t="shared" si="13"/>
        <v>61.25</v>
      </c>
      <c r="BH8" s="43">
        <v>2.044</v>
      </c>
      <c r="BI8" s="44">
        <v>2.044</v>
      </c>
      <c r="BJ8" s="45">
        <v>27.5</v>
      </c>
      <c r="BK8" s="46">
        <v>27.81</v>
      </c>
      <c r="BL8" s="45">
        <v>22.64</v>
      </c>
      <c r="BM8" s="45">
        <v>32.39</v>
      </c>
      <c r="BN8" s="47">
        <v>997.8</v>
      </c>
      <c r="BO8" s="45">
        <v>49.98</v>
      </c>
      <c r="BP8" s="48">
        <v>0.93630000000000002</v>
      </c>
      <c r="BQ8" s="46">
        <v>91.09</v>
      </c>
      <c r="BR8" s="45">
        <v>83.77</v>
      </c>
      <c r="BS8" s="49">
        <f t="shared" si="14"/>
        <v>-7.3200000000000074</v>
      </c>
      <c r="BT8" s="50">
        <v>11939</v>
      </c>
      <c r="BU8" s="50">
        <v>11656</v>
      </c>
      <c r="BV8" s="51">
        <f t="shared" si="15"/>
        <v>-283</v>
      </c>
      <c r="BW8" s="41">
        <f t="shared" si="16"/>
        <v>4.0880000000000001</v>
      </c>
      <c r="BX8" s="42">
        <v>24</v>
      </c>
      <c r="BY8" s="42">
        <v>24</v>
      </c>
      <c r="CA8" s="42">
        <v>17.48</v>
      </c>
      <c r="CB8" s="42">
        <v>7.17</v>
      </c>
      <c r="CD8" s="42">
        <v>2.1</v>
      </c>
      <c r="CE8" s="42">
        <v>3.7</v>
      </c>
      <c r="CF8" s="57">
        <v>2.25</v>
      </c>
      <c r="CG8" s="42">
        <v>0.7</v>
      </c>
    </row>
    <row r="9" spans="1:85">
      <c r="A9" s="452"/>
      <c r="B9" s="24">
        <v>43104</v>
      </c>
      <c r="C9" s="25">
        <v>50.75</v>
      </c>
      <c r="D9" s="26">
        <v>0.80169999999999997</v>
      </c>
      <c r="E9" s="38">
        <v>45.75</v>
      </c>
      <c r="F9" s="27">
        <v>60</v>
      </c>
      <c r="G9" s="27">
        <v>42</v>
      </c>
      <c r="H9" s="28">
        <v>24</v>
      </c>
      <c r="I9" s="28">
        <v>0</v>
      </c>
      <c r="J9" s="28">
        <v>24</v>
      </c>
      <c r="K9" s="28">
        <v>0</v>
      </c>
      <c r="L9" s="29">
        <v>0</v>
      </c>
      <c r="M9" s="29">
        <v>0</v>
      </c>
      <c r="N9" s="29">
        <v>0</v>
      </c>
      <c r="O9" s="29">
        <v>0</v>
      </c>
      <c r="P9" s="29">
        <v>24</v>
      </c>
      <c r="Q9" s="29">
        <v>0</v>
      </c>
      <c r="R9" s="29">
        <v>3720</v>
      </c>
      <c r="S9" s="30">
        <v>3694</v>
      </c>
      <c r="T9" s="30">
        <v>3694</v>
      </c>
      <c r="U9" s="31">
        <v>3611</v>
      </c>
      <c r="V9" s="31">
        <v>3718</v>
      </c>
      <c r="W9" s="28">
        <v>46</v>
      </c>
      <c r="X9" s="28">
        <v>0</v>
      </c>
      <c r="Y9" s="28">
        <v>47</v>
      </c>
      <c r="Z9" s="28">
        <v>0</v>
      </c>
      <c r="AA9" s="28">
        <v>62</v>
      </c>
      <c r="AB9" s="27">
        <v>0</v>
      </c>
      <c r="AC9" s="32">
        <f t="shared" si="0"/>
        <v>107</v>
      </c>
      <c r="AD9" s="33">
        <f t="shared" si="1"/>
        <v>-83</v>
      </c>
      <c r="AE9" s="27">
        <v>157</v>
      </c>
      <c r="AF9" s="34">
        <f t="shared" si="2"/>
        <v>0.98673036093418254</v>
      </c>
      <c r="AG9" s="35">
        <f t="shared" si="3"/>
        <v>155</v>
      </c>
      <c r="AH9" s="34">
        <f t="shared" si="4"/>
        <v>0.9706989247311828</v>
      </c>
      <c r="AI9" s="36">
        <f t="shared" si="5"/>
        <v>1</v>
      </c>
      <c r="AJ9" s="37">
        <f t="shared" si="6"/>
        <v>1</v>
      </c>
      <c r="AK9" s="235">
        <v>11.1</v>
      </c>
      <c r="AL9" s="239">
        <v>138.69</v>
      </c>
      <c r="AM9" s="38">
        <f t="shared" si="7"/>
        <v>1539.4589999999998</v>
      </c>
      <c r="AN9" s="235">
        <v>30.518000000000001</v>
      </c>
      <c r="AO9" s="232">
        <v>979</v>
      </c>
      <c r="AP9" s="39">
        <f t="shared" si="8"/>
        <v>29877.121999999999</v>
      </c>
      <c r="AQ9" s="201">
        <f t="shared" si="9"/>
        <v>8700.2439767377455</v>
      </c>
      <c r="AR9" s="198">
        <f t="shared" si="10"/>
        <v>153.91666666666666</v>
      </c>
      <c r="AS9" s="13"/>
      <c r="AT9" s="27">
        <v>0</v>
      </c>
      <c r="AU9" s="40">
        <v>0</v>
      </c>
      <c r="AV9" s="40">
        <v>0</v>
      </c>
      <c r="AW9" s="27">
        <v>0</v>
      </c>
      <c r="AX9" s="40">
        <v>0</v>
      </c>
      <c r="AY9" s="27">
        <v>0</v>
      </c>
      <c r="AZ9" s="27">
        <v>0</v>
      </c>
      <c r="BA9" s="4"/>
      <c r="BB9" s="41">
        <v>1094</v>
      </c>
      <c r="BC9" s="41">
        <v>1138</v>
      </c>
      <c r="BD9" s="41">
        <v>1486</v>
      </c>
      <c r="BE9" s="41">
        <f t="shared" si="11"/>
        <v>44</v>
      </c>
      <c r="BF9" s="41">
        <f t="shared" si="12"/>
        <v>8700.2439767377455</v>
      </c>
      <c r="BG9" s="42">
        <f t="shared" si="13"/>
        <v>61.916666666666664</v>
      </c>
      <c r="BH9" s="43">
        <v>2.1709999999999998</v>
      </c>
      <c r="BI9" s="44">
        <v>2.1709999999999998</v>
      </c>
      <c r="BJ9" s="45">
        <v>27.5</v>
      </c>
      <c r="BK9" s="46">
        <v>27.86</v>
      </c>
      <c r="BL9" s="45">
        <v>22.73</v>
      </c>
      <c r="BM9" s="45">
        <v>32.15</v>
      </c>
      <c r="BN9" s="47">
        <v>997.4</v>
      </c>
      <c r="BO9" s="45">
        <v>50.03</v>
      </c>
      <c r="BP9" s="53">
        <v>0.93589999999999995</v>
      </c>
      <c r="BQ9" s="45">
        <v>88.94</v>
      </c>
      <c r="BR9" s="45">
        <v>83.45</v>
      </c>
      <c r="BS9" s="49">
        <f t="shared" si="14"/>
        <v>-5.4899999999999949</v>
      </c>
      <c r="BT9" s="50">
        <v>11978</v>
      </c>
      <c r="BU9" s="50">
        <v>11700</v>
      </c>
      <c r="BV9" s="51">
        <f t="shared" si="15"/>
        <v>-278</v>
      </c>
      <c r="BW9" s="41">
        <f t="shared" si="16"/>
        <v>4.3419999999999996</v>
      </c>
      <c r="BX9" s="42">
        <v>24</v>
      </c>
      <c r="BY9" s="42">
        <v>24</v>
      </c>
      <c r="CA9" s="42">
        <v>13.07</v>
      </c>
      <c r="CB9" s="42">
        <v>6.8</v>
      </c>
      <c r="CD9" s="42">
        <v>2.1</v>
      </c>
      <c r="CE9" s="42">
        <v>3.5</v>
      </c>
      <c r="CF9" s="57">
        <v>2.25</v>
      </c>
      <c r="CG9" s="42">
        <v>0.7</v>
      </c>
    </row>
    <row r="10" spans="1:85">
      <c r="A10" s="452"/>
      <c r="B10" s="24">
        <v>43105</v>
      </c>
      <c r="C10" s="25">
        <v>52.95</v>
      </c>
      <c r="D10" s="26">
        <v>0.72740000000000005</v>
      </c>
      <c r="E10" s="38">
        <v>46.17</v>
      </c>
      <c r="F10" s="27">
        <v>64</v>
      </c>
      <c r="G10" s="27">
        <v>43</v>
      </c>
      <c r="H10" s="28">
        <v>24</v>
      </c>
      <c r="I10" s="28">
        <v>0</v>
      </c>
      <c r="J10" s="28">
        <v>24</v>
      </c>
      <c r="K10" s="28">
        <v>0</v>
      </c>
      <c r="L10" s="29">
        <v>0</v>
      </c>
      <c r="M10" s="29">
        <v>0</v>
      </c>
      <c r="N10" s="29">
        <v>0</v>
      </c>
      <c r="O10" s="29">
        <v>0</v>
      </c>
      <c r="P10" s="29">
        <v>24</v>
      </c>
      <c r="Q10" s="29">
        <v>0</v>
      </c>
      <c r="R10" s="29">
        <v>3720</v>
      </c>
      <c r="S10" s="30">
        <v>3711</v>
      </c>
      <c r="T10" s="30">
        <v>3711</v>
      </c>
      <c r="U10" s="31">
        <v>3630</v>
      </c>
      <c r="V10" s="31">
        <v>3740</v>
      </c>
      <c r="W10" s="28">
        <v>45</v>
      </c>
      <c r="X10" s="28">
        <v>0</v>
      </c>
      <c r="Y10" s="28">
        <v>48</v>
      </c>
      <c r="Z10" s="28">
        <v>0</v>
      </c>
      <c r="AA10" s="28">
        <v>63</v>
      </c>
      <c r="AB10" s="27">
        <v>0</v>
      </c>
      <c r="AC10" s="32">
        <f t="shared" si="0"/>
        <v>110</v>
      </c>
      <c r="AD10" s="33">
        <f t="shared" si="1"/>
        <v>-81</v>
      </c>
      <c r="AE10" s="27">
        <v>158</v>
      </c>
      <c r="AF10" s="34">
        <f t="shared" si="2"/>
        <v>0.98628691983122363</v>
      </c>
      <c r="AG10" s="35">
        <f t="shared" si="3"/>
        <v>155</v>
      </c>
      <c r="AH10" s="34">
        <f t="shared" si="4"/>
        <v>0.97580645161290325</v>
      </c>
      <c r="AI10" s="36">
        <f t="shared" si="5"/>
        <v>1</v>
      </c>
      <c r="AJ10" s="37">
        <f t="shared" si="6"/>
        <v>1</v>
      </c>
      <c r="AK10" s="235">
        <v>11.06</v>
      </c>
      <c r="AL10" s="239">
        <v>138.47999999999999</v>
      </c>
      <c r="AM10" s="38">
        <f t="shared" si="7"/>
        <v>1531.5888</v>
      </c>
      <c r="AN10" s="235">
        <v>30.977</v>
      </c>
      <c r="AO10" s="232">
        <v>981</v>
      </c>
      <c r="AP10" s="39">
        <f t="shared" si="8"/>
        <v>30388.437000000002</v>
      </c>
      <c r="AQ10" s="201">
        <f t="shared" si="9"/>
        <v>8793.3955371900829</v>
      </c>
      <c r="AR10" s="198">
        <f t="shared" si="10"/>
        <v>154.625</v>
      </c>
      <c r="AS10" s="13"/>
      <c r="AT10" s="27">
        <v>0</v>
      </c>
      <c r="AU10" s="40">
        <v>0</v>
      </c>
      <c r="AV10" s="40">
        <v>0</v>
      </c>
      <c r="AW10" s="27">
        <v>0</v>
      </c>
      <c r="AX10" s="40">
        <v>0</v>
      </c>
      <c r="AY10" s="27">
        <v>0</v>
      </c>
      <c r="AZ10" s="27">
        <v>0</v>
      </c>
      <c r="BA10" s="4"/>
      <c r="BB10" s="41">
        <v>1078</v>
      </c>
      <c r="BC10" s="41">
        <v>1146</v>
      </c>
      <c r="BD10" s="41">
        <v>1516</v>
      </c>
      <c r="BE10" s="41">
        <f t="shared" si="11"/>
        <v>68</v>
      </c>
      <c r="BF10" s="41">
        <f t="shared" si="12"/>
        <v>8793.3955371900829</v>
      </c>
      <c r="BG10" s="42">
        <f t="shared" si="13"/>
        <v>63.166666666666664</v>
      </c>
      <c r="BH10" s="43">
        <v>2.3239999999999998</v>
      </c>
      <c r="BI10" s="44">
        <v>2.3239999999999998</v>
      </c>
      <c r="BJ10" s="45">
        <v>27.4</v>
      </c>
      <c r="BK10" s="46">
        <v>27.67</v>
      </c>
      <c r="BL10" s="47">
        <v>22.95</v>
      </c>
      <c r="BM10" s="47">
        <v>32.22</v>
      </c>
      <c r="BN10" s="47">
        <v>998</v>
      </c>
      <c r="BO10" s="45">
        <v>50.06</v>
      </c>
      <c r="BP10" s="48">
        <v>0.93589999999999995</v>
      </c>
      <c r="BQ10" s="42">
        <v>88.08</v>
      </c>
      <c r="BR10" s="42">
        <v>83.41</v>
      </c>
      <c r="BS10" s="49">
        <f t="shared" si="14"/>
        <v>-4.6700000000000017</v>
      </c>
      <c r="BT10" s="50">
        <v>12070</v>
      </c>
      <c r="BU10" s="50">
        <v>11724</v>
      </c>
      <c r="BV10" s="51">
        <f t="shared" si="15"/>
        <v>-346</v>
      </c>
      <c r="BW10" s="41">
        <f t="shared" si="16"/>
        <v>4.6479999999999997</v>
      </c>
      <c r="BX10" s="62">
        <v>24</v>
      </c>
      <c r="BY10" s="42">
        <v>24</v>
      </c>
      <c r="CA10" s="42">
        <v>11.25</v>
      </c>
      <c r="CB10" s="42">
        <v>5.72</v>
      </c>
      <c r="CD10" s="42">
        <v>2.1</v>
      </c>
      <c r="CE10" s="42">
        <v>3.5</v>
      </c>
      <c r="CF10" s="57">
        <v>2.25</v>
      </c>
      <c r="CG10" s="42">
        <v>0.6</v>
      </c>
    </row>
    <row r="11" spans="1:85">
      <c r="A11" s="452"/>
      <c r="B11" s="24">
        <v>43106</v>
      </c>
      <c r="C11" s="25">
        <v>56</v>
      </c>
      <c r="D11" s="26">
        <v>0.64</v>
      </c>
      <c r="E11" s="38">
        <v>46.96</v>
      </c>
      <c r="F11" s="27">
        <v>67</v>
      </c>
      <c r="G11" s="27">
        <v>48</v>
      </c>
      <c r="H11" s="28">
        <v>24</v>
      </c>
      <c r="I11" s="28">
        <v>0</v>
      </c>
      <c r="J11" s="28">
        <v>24</v>
      </c>
      <c r="K11" s="28">
        <v>0</v>
      </c>
      <c r="L11" s="29">
        <v>0</v>
      </c>
      <c r="M11" s="29">
        <v>0</v>
      </c>
      <c r="N11" s="29">
        <v>0</v>
      </c>
      <c r="O11" s="29">
        <v>0</v>
      </c>
      <c r="P11" s="29">
        <v>24</v>
      </c>
      <c r="Q11" s="29">
        <v>0</v>
      </c>
      <c r="R11" s="29">
        <v>3720</v>
      </c>
      <c r="S11" s="30">
        <v>3689</v>
      </c>
      <c r="T11" s="30">
        <v>3689</v>
      </c>
      <c r="U11" s="31">
        <v>3602</v>
      </c>
      <c r="V11" s="31">
        <v>3710</v>
      </c>
      <c r="W11" s="28">
        <v>45</v>
      </c>
      <c r="X11" s="28">
        <v>0</v>
      </c>
      <c r="Y11" s="28">
        <v>47</v>
      </c>
      <c r="Z11" s="28">
        <v>0</v>
      </c>
      <c r="AA11" s="28">
        <v>62</v>
      </c>
      <c r="AB11" s="27">
        <v>0</v>
      </c>
      <c r="AC11" s="32">
        <f t="shared" si="0"/>
        <v>108</v>
      </c>
      <c r="AD11" s="33">
        <f t="shared" si="1"/>
        <v>-87</v>
      </c>
      <c r="AE11" s="27">
        <v>157</v>
      </c>
      <c r="AF11" s="34">
        <f t="shared" si="2"/>
        <v>0.98460721868365175</v>
      </c>
      <c r="AG11" s="35">
        <f t="shared" si="3"/>
        <v>155</v>
      </c>
      <c r="AH11" s="34">
        <f t="shared" si="4"/>
        <v>0.9682795698924731</v>
      </c>
      <c r="AI11" s="36">
        <f t="shared" si="5"/>
        <v>1</v>
      </c>
      <c r="AJ11" s="37">
        <f t="shared" si="6"/>
        <v>1</v>
      </c>
      <c r="AK11" s="235">
        <v>11.065</v>
      </c>
      <c r="AL11" s="239">
        <v>139.83000000000001</v>
      </c>
      <c r="AM11" s="38">
        <f t="shared" si="7"/>
        <v>1547.2189500000002</v>
      </c>
      <c r="AN11" s="235">
        <v>30.864999999999998</v>
      </c>
      <c r="AO11" s="232">
        <v>977</v>
      </c>
      <c r="AP11" s="39">
        <f t="shared" si="8"/>
        <v>30155.105</v>
      </c>
      <c r="AQ11" s="201">
        <f t="shared" si="9"/>
        <v>8801.311479733482</v>
      </c>
      <c r="AR11" s="198">
        <f t="shared" si="10"/>
        <v>153.70833333333334</v>
      </c>
      <c r="AS11" s="13"/>
      <c r="AT11" s="27">
        <v>0</v>
      </c>
      <c r="AU11" s="40">
        <v>0</v>
      </c>
      <c r="AV11" s="40">
        <v>0</v>
      </c>
      <c r="AW11" s="27">
        <v>0</v>
      </c>
      <c r="AX11" s="40">
        <v>0</v>
      </c>
      <c r="AY11" s="27">
        <v>0</v>
      </c>
      <c r="AZ11" s="27">
        <v>0</v>
      </c>
      <c r="BA11" s="4"/>
      <c r="BB11" s="41">
        <v>1074</v>
      </c>
      <c r="BC11" s="41">
        <v>1138</v>
      </c>
      <c r="BD11" s="41">
        <v>1498</v>
      </c>
      <c r="BE11" s="41">
        <f t="shared" si="11"/>
        <v>64</v>
      </c>
      <c r="BF11" s="41">
        <f t="shared" si="12"/>
        <v>8801.311479733482</v>
      </c>
      <c r="BG11" s="42">
        <f t="shared" si="13"/>
        <v>62.416666666666664</v>
      </c>
      <c r="BH11" s="43">
        <v>2.234</v>
      </c>
      <c r="BI11" s="44">
        <v>2.234</v>
      </c>
      <c r="BJ11" s="45">
        <v>27.5</v>
      </c>
      <c r="BK11" s="46">
        <v>27.8</v>
      </c>
      <c r="BL11" s="47">
        <v>22.95</v>
      </c>
      <c r="BM11" s="47">
        <v>31.9</v>
      </c>
      <c r="BN11" s="47">
        <v>997.8</v>
      </c>
      <c r="BO11" s="45">
        <v>50.01</v>
      </c>
      <c r="BP11" s="48">
        <v>0.93569999999999998</v>
      </c>
      <c r="BQ11" s="54">
        <v>89.02</v>
      </c>
      <c r="BR11" s="54">
        <v>83.51</v>
      </c>
      <c r="BS11" s="49">
        <f t="shared" si="14"/>
        <v>-5.5099999999999909</v>
      </c>
      <c r="BT11" s="55">
        <v>12142</v>
      </c>
      <c r="BU11" s="55">
        <v>11778</v>
      </c>
      <c r="BV11" s="51">
        <f t="shared" si="15"/>
        <v>-364</v>
      </c>
      <c r="BW11" s="41">
        <f t="shared" si="16"/>
        <v>4.468</v>
      </c>
      <c r="BX11" s="42">
        <v>24</v>
      </c>
      <c r="BY11" s="42">
        <v>24</v>
      </c>
      <c r="CA11" s="42">
        <v>13</v>
      </c>
      <c r="CB11" s="42">
        <v>7.1</v>
      </c>
      <c r="CD11" s="42">
        <v>2.2000000000000002</v>
      </c>
      <c r="CE11" s="42">
        <v>3.5</v>
      </c>
      <c r="CF11" s="57">
        <v>2.25</v>
      </c>
      <c r="CG11" s="57">
        <v>0.7</v>
      </c>
    </row>
    <row r="12" spans="1:85">
      <c r="A12" s="453"/>
      <c r="B12" s="24">
        <v>43107</v>
      </c>
      <c r="C12" s="25">
        <v>57</v>
      </c>
      <c r="D12" s="26">
        <v>0.64</v>
      </c>
      <c r="E12" s="38">
        <v>47.96</v>
      </c>
      <c r="F12" s="27">
        <v>67</v>
      </c>
      <c r="G12" s="27">
        <v>47</v>
      </c>
      <c r="H12" s="28">
        <v>24</v>
      </c>
      <c r="I12" s="28">
        <v>0</v>
      </c>
      <c r="J12" s="28">
        <v>24</v>
      </c>
      <c r="K12" s="28">
        <v>0</v>
      </c>
      <c r="L12" s="29">
        <v>0</v>
      </c>
      <c r="M12" s="29">
        <v>0</v>
      </c>
      <c r="N12" s="29">
        <v>0</v>
      </c>
      <c r="O12" s="29">
        <v>0</v>
      </c>
      <c r="P12" s="29">
        <v>24</v>
      </c>
      <c r="Q12" s="29">
        <v>0</v>
      </c>
      <c r="R12" s="29">
        <v>3720</v>
      </c>
      <c r="S12" s="30">
        <v>3675</v>
      </c>
      <c r="T12" s="30">
        <v>3675</v>
      </c>
      <c r="U12" s="31">
        <v>3588</v>
      </c>
      <c r="V12" s="31">
        <v>3697</v>
      </c>
      <c r="W12" s="28">
        <v>45</v>
      </c>
      <c r="X12" s="28">
        <v>0</v>
      </c>
      <c r="Y12" s="28">
        <v>47</v>
      </c>
      <c r="Z12" s="28">
        <v>0</v>
      </c>
      <c r="AA12" s="28">
        <v>62</v>
      </c>
      <c r="AB12" s="27">
        <v>0</v>
      </c>
      <c r="AC12" s="32">
        <f t="shared" si="0"/>
        <v>109</v>
      </c>
      <c r="AD12" s="33">
        <f t="shared" si="1"/>
        <v>-87</v>
      </c>
      <c r="AE12" s="27">
        <v>156</v>
      </c>
      <c r="AF12" s="34">
        <f t="shared" si="2"/>
        <v>0.98744658119658124</v>
      </c>
      <c r="AG12" s="35">
        <f t="shared" si="3"/>
        <v>155</v>
      </c>
      <c r="AH12" s="34">
        <f t="shared" si="4"/>
        <v>0.96451612903225803</v>
      </c>
      <c r="AI12" s="36">
        <f t="shared" si="5"/>
        <v>1</v>
      </c>
      <c r="AJ12" s="37">
        <f t="shared" si="6"/>
        <v>1</v>
      </c>
      <c r="AK12" s="235">
        <v>11.015000000000001</v>
      </c>
      <c r="AL12" s="239">
        <v>137.87</v>
      </c>
      <c r="AM12" s="38">
        <f t="shared" si="7"/>
        <v>1518.63805</v>
      </c>
      <c r="AN12" s="235">
        <v>30.422000000000001</v>
      </c>
      <c r="AO12" s="232">
        <v>979</v>
      </c>
      <c r="AP12" s="39">
        <f t="shared" si="8"/>
        <v>29783.137999999999</v>
      </c>
      <c r="AQ12" s="201">
        <f t="shared" si="9"/>
        <v>8724.017851170569</v>
      </c>
      <c r="AR12" s="198">
        <f t="shared" si="10"/>
        <v>153.125</v>
      </c>
      <c r="AS12" s="13"/>
      <c r="AT12" s="27">
        <v>0</v>
      </c>
      <c r="AU12" s="40">
        <v>0</v>
      </c>
      <c r="AV12" s="40">
        <v>0</v>
      </c>
      <c r="AW12" s="27">
        <v>0</v>
      </c>
      <c r="AX12" s="40">
        <v>0</v>
      </c>
      <c r="AY12" s="27">
        <v>0</v>
      </c>
      <c r="AZ12" s="27">
        <v>0</v>
      </c>
      <c r="BA12" s="4"/>
      <c r="BB12" s="41">
        <v>1079</v>
      </c>
      <c r="BC12" s="41">
        <v>1137</v>
      </c>
      <c r="BD12" s="41">
        <v>1481</v>
      </c>
      <c r="BE12" s="41">
        <f t="shared" si="11"/>
        <v>58</v>
      </c>
      <c r="BF12" s="41">
        <f t="shared" si="12"/>
        <v>8724.017851170569</v>
      </c>
      <c r="BG12" s="42">
        <f t="shared" si="13"/>
        <v>61.708333333333336</v>
      </c>
      <c r="BH12" s="43">
        <v>2.1179999999999999</v>
      </c>
      <c r="BI12" s="44">
        <v>2.1160000000000001</v>
      </c>
      <c r="BJ12" s="45">
        <v>28</v>
      </c>
      <c r="BK12" s="46">
        <v>27.6</v>
      </c>
      <c r="BL12" s="47">
        <v>22.68</v>
      </c>
      <c r="BM12" s="47">
        <v>31.9</v>
      </c>
      <c r="BN12" s="47">
        <v>998</v>
      </c>
      <c r="BO12" s="45">
        <v>50.07</v>
      </c>
      <c r="BP12" s="48">
        <v>0.93679999999999997</v>
      </c>
      <c r="BQ12" s="54">
        <v>89.91</v>
      </c>
      <c r="BR12" s="54">
        <v>83.48</v>
      </c>
      <c r="BS12" s="49">
        <f t="shared" si="14"/>
        <v>-6.4299999999999926</v>
      </c>
      <c r="BT12" s="56">
        <v>12033</v>
      </c>
      <c r="BU12" s="56">
        <v>11701</v>
      </c>
      <c r="BV12" s="51">
        <f t="shared" si="15"/>
        <v>-332</v>
      </c>
      <c r="BW12" s="41">
        <f t="shared" si="16"/>
        <v>4.234</v>
      </c>
      <c r="BX12" s="57">
        <v>24</v>
      </c>
      <c r="BY12" s="57">
        <v>24</v>
      </c>
      <c r="CA12" s="57">
        <v>14.8</v>
      </c>
      <c r="CB12" s="57">
        <v>3.3</v>
      </c>
      <c r="CD12" s="57">
        <v>2.1</v>
      </c>
      <c r="CE12" s="57">
        <v>3.25</v>
      </c>
      <c r="CF12" s="57">
        <v>2.25</v>
      </c>
      <c r="CG12" s="57">
        <v>0.8</v>
      </c>
    </row>
    <row r="13" spans="1:85" ht="12.75" customHeight="1">
      <c r="A13" s="454" t="s">
        <v>79</v>
      </c>
      <c r="B13" s="154">
        <v>43108</v>
      </c>
      <c r="C13" s="157">
        <v>57</v>
      </c>
      <c r="D13" s="158">
        <v>0.69</v>
      </c>
      <c r="E13" s="171">
        <v>50.29</v>
      </c>
      <c r="F13" s="159">
        <v>69</v>
      </c>
      <c r="G13" s="159">
        <v>47</v>
      </c>
      <c r="H13" s="160">
        <v>24</v>
      </c>
      <c r="I13" s="160">
        <v>0</v>
      </c>
      <c r="J13" s="160">
        <v>24</v>
      </c>
      <c r="K13" s="160">
        <v>0</v>
      </c>
      <c r="L13" s="161">
        <v>0</v>
      </c>
      <c r="M13" s="161">
        <v>0</v>
      </c>
      <c r="N13" s="161">
        <v>0</v>
      </c>
      <c r="O13" s="161">
        <v>0</v>
      </c>
      <c r="P13" s="161">
        <v>24</v>
      </c>
      <c r="Q13" s="161">
        <v>0</v>
      </c>
      <c r="R13" s="162">
        <v>3719</v>
      </c>
      <c r="S13" s="163">
        <v>3667</v>
      </c>
      <c r="T13" s="163">
        <v>3667</v>
      </c>
      <c r="U13" s="164">
        <v>3585</v>
      </c>
      <c r="V13" s="164">
        <v>3692</v>
      </c>
      <c r="W13" s="159">
        <v>45</v>
      </c>
      <c r="X13" s="159">
        <v>0</v>
      </c>
      <c r="Y13" s="159">
        <v>47</v>
      </c>
      <c r="Z13" s="159">
        <v>0</v>
      </c>
      <c r="AA13" s="159">
        <v>62</v>
      </c>
      <c r="AB13" s="159">
        <v>0</v>
      </c>
      <c r="AC13" s="165">
        <f t="shared" si="0"/>
        <v>107</v>
      </c>
      <c r="AD13" s="166">
        <f t="shared" si="1"/>
        <v>-82</v>
      </c>
      <c r="AE13" s="159">
        <v>155</v>
      </c>
      <c r="AF13" s="167">
        <f t="shared" si="2"/>
        <v>0.99247311827956985</v>
      </c>
      <c r="AG13" s="168">
        <f t="shared" si="3"/>
        <v>154.95833333333334</v>
      </c>
      <c r="AH13" s="167">
        <f t="shared" si="4"/>
        <v>0.96396880881957514</v>
      </c>
      <c r="AI13" s="169">
        <f t="shared" si="5"/>
        <v>1</v>
      </c>
      <c r="AJ13" s="170">
        <f t="shared" si="6"/>
        <v>1</v>
      </c>
      <c r="AK13" s="236">
        <v>11.07</v>
      </c>
      <c r="AL13" s="240">
        <v>138.80000000000001</v>
      </c>
      <c r="AM13" s="171">
        <f t="shared" si="7"/>
        <v>1536.5160000000001</v>
      </c>
      <c r="AN13" s="236">
        <v>30.58</v>
      </c>
      <c r="AO13" s="233">
        <v>980</v>
      </c>
      <c r="AP13" s="172">
        <f t="shared" si="8"/>
        <v>29968.399999999998</v>
      </c>
      <c r="AQ13" s="202">
        <f t="shared" si="9"/>
        <v>8787.9821478382128</v>
      </c>
      <c r="AR13" s="199">
        <f t="shared" si="10"/>
        <v>152.79166666666666</v>
      </c>
      <c r="AS13" s="13"/>
      <c r="AT13" s="173">
        <v>0</v>
      </c>
      <c r="AU13" s="159">
        <v>0</v>
      </c>
      <c r="AV13" s="174">
        <v>0</v>
      </c>
      <c r="AW13" s="174">
        <v>0</v>
      </c>
      <c r="AX13" s="159">
        <v>0</v>
      </c>
      <c r="AY13" s="174">
        <v>0</v>
      </c>
      <c r="AZ13" s="159">
        <v>0</v>
      </c>
      <c r="BA13" s="4"/>
      <c r="BB13" s="159">
        <v>1084</v>
      </c>
      <c r="BC13" s="159">
        <v>1127</v>
      </c>
      <c r="BD13" s="159">
        <v>1481</v>
      </c>
      <c r="BE13" s="175">
        <f t="shared" si="11"/>
        <v>43</v>
      </c>
      <c r="BF13" s="176">
        <f t="shared" si="12"/>
        <v>8787.9821478382128</v>
      </c>
      <c r="BG13" s="177">
        <f t="shared" si="13"/>
        <v>61.708333333333336</v>
      </c>
      <c r="BH13" s="178">
        <v>2.1680000000000001</v>
      </c>
      <c r="BI13" s="156">
        <v>2.1560000000000001</v>
      </c>
      <c r="BJ13" s="177">
        <v>28</v>
      </c>
      <c r="BK13" s="175">
        <v>27.78</v>
      </c>
      <c r="BL13" s="175">
        <v>22.65</v>
      </c>
      <c r="BM13" s="175">
        <v>32.11</v>
      </c>
      <c r="BN13" s="175">
        <v>999.1</v>
      </c>
      <c r="BO13" s="177">
        <v>50.03</v>
      </c>
      <c r="BP13" s="180">
        <v>0.93659999999999999</v>
      </c>
      <c r="BQ13" s="186">
        <v>90.42</v>
      </c>
      <c r="BR13" s="186">
        <v>83.47</v>
      </c>
      <c r="BS13" s="49">
        <f t="shared" si="14"/>
        <v>-6.9500000000000028</v>
      </c>
      <c r="BT13" s="179">
        <v>12041</v>
      </c>
      <c r="BU13" s="179">
        <v>11771</v>
      </c>
      <c r="BV13" s="51">
        <f t="shared" si="15"/>
        <v>-270</v>
      </c>
      <c r="BW13" s="175">
        <f t="shared" si="16"/>
        <v>4.3239999999999998</v>
      </c>
      <c r="BX13" s="177">
        <v>24</v>
      </c>
      <c r="BY13" s="177">
        <v>24</v>
      </c>
      <c r="CA13" s="177">
        <v>16.100000000000001</v>
      </c>
      <c r="CB13" s="177">
        <v>3.2</v>
      </c>
      <c r="CD13" s="177">
        <v>2.1</v>
      </c>
      <c r="CE13" s="177">
        <v>3.7</v>
      </c>
      <c r="CF13" s="177">
        <v>2.2000000000000002</v>
      </c>
      <c r="CG13" s="177">
        <v>0.5</v>
      </c>
    </row>
    <row r="14" spans="1:85">
      <c r="A14" s="455"/>
      <c r="B14" s="154">
        <v>43109</v>
      </c>
      <c r="C14" s="157">
        <v>57.6</v>
      </c>
      <c r="D14" s="197">
        <v>0.71299999999999997</v>
      </c>
      <c r="E14" s="171">
        <v>50.42</v>
      </c>
      <c r="F14" s="159">
        <v>71.599999999999994</v>
      </c>
      <c r="G14" s="159">
        <v>48.6</v>
      </c>
      <c r="H14" s="160">
        <v>24</v>
      </c>
      <c r="I14" s="160">
        <v>0</v>
      </c>
      <c r="J14" s="160">
        <v>24</v>
      </c>
      <c r="K14" s="160">
        <v>0</v>
      </c>
      <c r="L14" s="161">
        <v>0</v>
      </c>
      <c r="M14" s="161">
        <v>0</v>
      </c>
      <c r="N14" s="161">
        <v>0</v>
      </c>
      <c r="O14" s="161">
        <v>0</v>
      </c>
      <c r="P14" s="161">
        <v>24</v>
      </c>
      <c r="Q14" s="161">
        <v>0</v>
      </c>
      <c r="R14" s="162">
        <v>3719</v>
      </c>
      <c r="S14" s="163">
        <v>3652</v>
      </c>
      <c r="T14" s="163">
        <v>3652</v>
      </c>
      <c r="U14" s="164">
        <v>3557</v>
      </c>
      <c r="V14" s="164">
        <v>3666</v>
      </c>
      <c r="W14" s="159">
        <v>46</v>
      </c>
      <c r="X14" s="159">
        <v>0</v>
      </c>
      <c r="Y14" s="159">
        <v>47</v>
      </c>
      <c r="Z14" s="159">
        <v>0</v>
      </c>
      <c r="AA14" s="159">
        <v>60</v>
      </c>
      <c r="AB14" s="159">
        <v>0</v>
      </c>
      <c r="AC14" s="165">
        <f t="shared" si="0"/>
        <v>109</v>
      </c>
      <c r="AD14" s="166">
        <f t="shared" si="1"/>
        <v>-95</v>
      </c>
      <c r="AE14" s="159">
        <v>156</v>
      </c>
      <c r="AF14" s="167">
        <f t="shared" si="2"/>
        <v>0.97916666666666663</v>
      </c>
      <c r="AG14" s="168">
        <f t="shared" si="3"/>
        <v>154.95833333333334</v>
      </c>
      <c r="AH14" s="167">
        <f t="shared" si="4"/>
        <v>0.95643990319978489</v>
      </c>
      <c r="AI14" s="169">
        <f t="shared" si="5"/>
        <v>1</v>
      </c>
      <c r="AJ14" s="170">
        <f t="shared" si="6"/>
        <v>1</v>
      </c>
      <c r="AK14" s="236">
        <v>11.06</v>
      </c>
      <c r="AL14" s="240">
        <v>134.96</v>
      </c>
      <c r="AM14" s="171">
        <f t="shared" si="7"/>
        <v>1492.6576000000002</v>
      </c>
      <c r="AN14" s="236">
        <v>30.408999999999999</v>
      </c>
      <c r="AO14" s="233">
        <v>974</v>
      </c>
      <c r="AP14" s="172">
        <f t="shared" si="8"/>
        <v>29618.365999999998</v>
      </c>
      <c r="AQ14" s="202">
        <f t="shared" si="9"/>
        <v>8746.4221535001398</v>
      </c>
      <c r="AR14" s="199">
        <f t="shared" si="10"/>
        <v>152.16666666666666</v>
      </c>
      <c r="AS14" s="13"/>
      <c r="AT14" s="173">
        <v>0</v>
      </c>
      <c r="AU14" s="159">
        <v>0</v>
      </c>
      <c r="AV14" s="174">
        <v>0</v>
      </c>
      <c r="AW14" s="174">
        <v>0</v>
      </c>
      <c r="AX14" s="159">
        <v>0</v>
      </c>
      <c r="AY14" s="174">
        <v>0</v>
      </c>
      <c r="AZ14" s="159">
        <v>0</v>
      </c>
      <c r="BA14" s="4"/>
      <c r="BB14" s="159">
        <v>1100</v>
      </c>
      <c r="BC14" s="159">
        <v>1123</v>
      </c>
      <c r="BD14" s="159">
        <v>1443</v>
      </c>
      <c r="BE14" s="175">
        <f t="shared" si="11"/>
        <v>23</v>
      </c>
      <c r="BF14" s="176">
        <f t="shared" si="12"/>
        <v>8746.4221535001398</v>
      </c>
      <c r="BG14" s="177">
        <f t="shared" si="13"/>
        <v>60.125</v>
      </c>
      <c r="BH14" s="178">
        <v>1.9750000000000001</v>
      </c>
      <c r="BI14" s="156">
        <v>1.966</v>
      </c>
      <c r="BJ14" s="177">
        <v>28</v>
      </c>
      <c r="BK14" s="175">
        <v>28.25</v>
      </c>
      <c r="BL14" s="175">
        <v>22.81</v>
      </c>
      <c r="BM14" s="175">
        <v>31.77</v>
      </c>
      <c r="BN14" s="179">
        <v>1000</v>
      </c>
      <c r="BO14" s="179">
        <v>50.09</v>
      </c>
      <c r="BP14" s="180">
        <v>0.93740000000000001</v>
      </c>
      <c r="BQ14" s="177">
        <v>92.3</v>
      </c>
      <c r="BR14" s="177">
        <v>83.4</v>
      </c>
      <c r="BS14" s="49">
        <f t="shared" si="14"/>
        <v>-8.8999999999999915</v>
      </c>
      <c r="BT14" s="175">
        <v>12443</v>
      </c>
      <c r="BU14" s="175">
        <v>12213</v>
      </c>
      <c r="BV14" s="51">
        <f t="shared" si="15"/>
        <v>-230</v>
      </c>
      <c r="BW14" s="175">
        <f t="shared" si="16"/>
        <v>3.9409999999999998</v>
      </c>
      <c r="BX14" s="177">
        <v>24</v>
      </c>
      <c r="BY14" s="177">
        <v>24</v>
      </c>
      <c r="CA14" s="177">
        <v>15.65</v>
      </c>
      <c r="CB14" s="177">
        <v>5.6</v>
      </c>
      <c r="CD14" s="177">
        <v>2.1</v>
      </c>
      <c r="CE14" s="177">
        <v>3.6</v>
      </c>
      <c r="CF14" s="177">
        <v>2.2000000000000002</v>
      </c>
      <c r="CG14" s="177">
        <v>0.4</v>
      </c>
    </row>
    <row r="15" spans="1:85">
      <c r="A15" s="455"/>
      <c r="B15" s="154">
        <v>43110</v>
      </c>
      <c r="C15" s="157">
        <v>57</v>
      </c>
      <c r="D15" s="197">
        <v>0.69</v>
      </c>
      <c r="E15" s="171">
        <v>48.4</v>
      </c>
      <c r="F15" s="159">
        <v>77</v>
      </c>
      <c r="G15" s="159">
        <v>42</v>
      </c>
      <c r="H15" s="160">
        <v>24</v>
      </c>
      <c r="I15" s="160">
        <v>0</v>
      </c>
      <c r="J15" s="160">
        <v>24</v>
      </c>
      <c r="K15" s="160">
        <v>0</v>
      </c>
      <c r="L15" s="161">
        <v>0</v>
      </c>
      <c r="M15" s="161">
        <v>0</v>
      </c>
      <c r="N15" s="161">
        <v>0</v>
      </c>
      <c r="O15" s="161">
        <v>0</v>
      </c>
      <c r="P15" s="161">
        <v>20</v>
      </c>
      <c r="Q15" s="161">
        <v>12</v>
      </c>
      <c r="R15" s="162">
        <v>3718</v>
      </c>
      <c r="S15" s="163">
        <v>3640</v>
      </c>
      <c r="T15" s="163">
        <v>3559</v>
      </c>
      <c r="U15" s="164">
        <v>3493</v>
      </c>
      <c r="V15" s="164">
        <v>3601</v>
      </c>
      <c r="W15" s="159">
        <v>45</v>
      </c>
      <c r="X15" s="159">
        <v>0</v>
      </c>
      <c r="Y15" s="159">
        <v>46</v>
      </c>
      <c r="Z15" s="159">
        <v>0</v>
      </c>
      <c r="AA15" s="159">
        <v>60</v>
      </c>
      <c r="AB15" s="159">
        <v>0</v>
      </c>
      <c r="AC15" s="165">
        <f t="shared" si="0"/>
        <v>108</v>
      </c>
      <c r="AD15" s="166">
        <f t="shared" si="1"/>
        <v>-66</v>
      </c>
      <c r="AE15" s="159">
        <v>156</v>
      </c>
      <c r="AF15" s="167">
        <f t="shared" si="2"/>
        <v>0.96180555555555558</v>
      </c>
      <c r="AG15" s="168">
        <f t="shared" si="3"/>
        <v>154.91666666666666</v>
      </c>
      <c r="AH15" s="167">
        <f t="shared" si="4"/>
        <v>0.93948359332974718</v>
      </c>
      <c r="AI15" s="169">
        <f t="shared" si="5"/>
        <v>1</v>
      </c>
      <c r="AJ15" s="170">
        <f t="shared" si="6"/>
        <v>0.9863686534216336</v>
      </c>
      <c r="AK15" s="236">
        <v>11.14</v>
      </c>
      <c r="AL15" s="240">
        <v>137.13999999999999</v>
      </c>
      <c r="AM15" s="171">
        <f t="shared" si="7"/>
        <v>1527.7395999999999</v>
      </c>
      <c r="AN15" s="236">
        <v>29.722000000000001</v>
      </c>
      <c r="AO15" s="233">
        <v>971.00800000000004</v>
      </c>
      <c r="AP15" s="172">
        <f t="shared" si="8"/>
        <v>28860.299776000003</v>
      </c>
      <c r="AQ15" s="202">
        <f t="shared" si="9"/>
        <v>8699.6963572860004</v>
      </c>
      <c r="AR15" s="199">
        <f t="shared" si="10"/>
        <v>151.66666666666666</v>
      </c>
      <c r="AS15" s="13"/>
      <c r="AT15" s="182">
        <v>0</v>
      </c>
      <c r="AU15" s="159">
        <v>0</v>
      </c>
      <c r="AV15" s="174">
        <v>0</v>
      </c>
      <c r="AW15" s="174">
        <v>0</v>
      </c>
      <c r="AX15" s="159">
        <v>13</v>
      </c>
      <c r="AY15" s="174">
        <v>228</v>
      </c>
      <c r="AZ15" s="159">
        <v>0</v>
      </c>
      <c r="BA15" s="4"/>
      <c r="BB15" s="159">
        <v>1081</v>
      </c>
      <c r="BC15" s="159">
        <v>1119</v>
      </c>
      <c r="BD15" s="159">
        <v>1401</v>
      </c>
      <c r="BE15" s="175">
        <f t="shared" si="11"/>
        <v>38</v>
      </c>
      <c r="BF15" s="176">
        <f t="shared" si="12"/>
        <v>8699.6963572860004</v>
      </c>
      <c r="BG15" s="177">
        <f t="shared" si="13"/>
        <v>58.375</v>
      </c>
      <c r="BH15" s="178">
        <v>1.8149999999999999</v>
      </c>
      <c r="BI15" s="156">
        <v>1.804</v>
      </c>
      <c r="BJ15" s="177">
        <v>28</v>
      </c>
      <c r="BK15" s="175">
        <v>27.99</v>
      </c>
      <c r="BL15" s="175">
        <v>22.72</v>
      </c>
      <c r="BM15" s="175">
        <v>32.28</v>
      </c>
      <c r="BN15" s="179">
        <v>1001</v>
      </c>
      <c r="BO15" s="179">
        <v>50.03</v>
      </c>
      <c r="BP15" s="180">
        <v>0.93640000000000001</v>
      </c>
      <c r="BQ15" s="177">
        <v>89.67</v>
      </c>
      <c r="BR15" s="177">
        <v>83.18</v>
      </c>
      <c r="BS15" s="49">
        <f t="shared" si="14"/>
        <v>-6.4899999999999949</v>
      </c>
      <c r="BT15" s="175">
        <v>12655</v>
      </c>
      <c r="BU15" s="175">
        <v>12386</v>
      </c>
      <c r="BV15" s="51">
        <f t="shared" si="15"/>
        <v>-269</v>
      </c>
      <c r="BW15" s="175">
        <f t="shared" si="16"/>
        <v>3.6189999999999998</v>
      </c>
      <c r="BX15" s="177">
        <v>24</v>
      </c>
      <c r="BY15" s="177">
        <v>24</v>
      </c>
      <c r="CA15" s="177">
        <v>13.6</v>
      </c>
      <c r="CB15" s="177">
        <v>7.23</v>
      </c>
      <c r="CD15" s="177">
        <v>2.1</v>
      </c>
      <c r="CE15" s="177">
        <v>3</v>
      </c>
      <c r="CF15" s="177">
        <v>2.23</v>
      </c>
      <c r="CG15" s="177">
        <v>0.6</v>
      </c>
    </row>
    <row r="16" spans="1:85">
      <c r="A16" s="455"/>
      <c r="B16" s="154">
        <v>43111</v>
      </c>
      <c r="C16" s="157">
        <v>61</v>
      </c>
      <c r="D16" s="197">
        <v>0.63800000000000001</v>
      </c>
      <c r="E16" s="171">
        <v>51</v>
      </c>
      <c r="F16" s="183">
        <v>74</v>
      </c>
      <c r="G16" s="183">
        <v>48</v>
      </c>
      <c r="H16" s="160">
        <v>24</v>
      </c>
      <c r="I16" s="160">
        <v>0</v>
      </c>
      <c r="J16" s="160">
        <v>24</v>
      </c>
      <c r="K16" s="160">
        <v>0</v>
      </c>
      <c r="L16" s="161">
        <v>0</v>
      </c>
      <c r="M16" s="161">
        <v>0</v>
      </c>
      <c r="N16" s="161">
        <v>0</v>
      </c>
      <c r="O16" s="161">
        <v>0</v>
      </c>
      <c r="P16" s="161">
        <v>19</v>
      </c>
      <c r="Q16" s="161">
        <v>7</v>
      </c>
      <c r="R16" s="162">
        <v>3707</v>
      </c>
      <c r="S16" s="163">
        <v>3644</v>
      </c>
      <c r="T16" s="163">
        <v>3532</v>
      </c>
      <c r="U16" s="164">
        <v>3470</v>
      </c>
      <c r="V16" s="164">
        <v>3575</v>
      </c>
      <c r="W16" s="159">
        <v>45</v>
      </c>
      <c r="X16" s="183">
        <v>0</v>
      </c>
      <c r="Y16" s="183">
        <v>47</v>
      </c>
      <c r="Z16" s="183">
        <v>0</v>
      </c>
      <c r="AA16" s="183">
        <v>60</v>
      </c>
      <c r="AB16" s="183">
        <v>0</v>
      </c>
      <c r="AC16" s="165">
        <f t="shared" si="0"/>
        <v>105</v>
      </c>
      <c r="AD16" s="166">
        <f t="shared" si="1"/>
        <v>-62</v>
      </c>
      <c r="AE16" s="159">
        <v>155</v>
      </c>
      <c r="AF16" s="167">
        <f t="shared" si="2"/>
        <v>0.96102150537634412</v>
      </c>
      <c r="AG16" s="168">
        <f t="shared" si="3"/>
        <v>154.45833333333334</v>
      </c>
      <c r="AH16" s="167">
        <f t="shared" si="4"/>
        <v>0.93606690045859187</v>
      </c>
      <c r="AI16" s="169">
        <f t="shared" si="5"/>
        <v>1</v>
      </c>
      <c r="AJ16" s="170">
        <f t="shared" si="6"/>
        <v>0.98259777046783625</v>
      </c>
      <c r="AK16" s="236">
        <v>11.07</v>
      </c>
      <c r="AL16" s="240">
        <v>135.56</v>
      </c>
      <c r="AM16" s="171">
        <f t="shared" si="7"/>
        <v>1500.6492000000001</v>
      </c>
      <c r="AN16" s="236">
        <v>29.667999999999999</v>
      </c>
      <c r="AO16" s="233">
        <v>972</v>
      </c>
      <c r="AP16" s="172">
        <f t="shared" si="8"/>
        <v>28837.295999999998</v>
      </c>
      <c r="AQ16" s="202">
        <f t="shared" si="9"/>
        <v>8742.9236887608076</v>
      </c>
      <c r="AR16" s="199">
        <f t="shared" si="10"/>
        <v>151.83333333333334</v>
      </c>
      <c r="AS16" s="13"/>
      <c r="AT16" s="159">
        <v>0</v>
      </c>
      <c r="AU16" s="174">
        <v>0</v>
      </c>
      <c r="AV16" s="174">
        <v>0</v>
      </c>
      <c r="AW16" s="159">
        <v>0</v>
      </c>
      <c r="AX16" s="174">
        <v>13</v>
      </c>
      <c r="AY16" s="159">
        <v>293</v>
      </c>
      <c r="AZ16" s="159">
        <v>0</v>
      </c>
      <c r="BA16" s="4"/>
      <c r="BB16" s="175">
        <v>1069</v>
      </c>
      <c r="BC16" s="175">
        <v>1118</v>
      </c>
      <c r="BD16" s="184">
        <v>1388</v>
      </c>
      <c r="BE16" s="175">
        <f t="shared" si="11"/>
        <v>49</v>
      </c>
      <c r="BF16" s="177">
        <f t="shared" si="12"/>
        <v>8742.9236887608076</v>
      </c>
      <c r="BG16" s="177">
        <f t="shared" si="13"/>
        <v>57.833333333333336</v>
      </c>
      <c r="BH16" s="178">
        <v>1.6930000000000001</v>
      </c>
      <c r="BI16" s="156">
        <v>1.6719999999999999</v>
      </c>
      <c r="BJ16" s="177">
        <v>27.4</v>
      </c>
      <c r="BK16" s="175">
        <v>27.67</v>
      </c>
      <c r="BL16" s="175">
        <v>22.68</v>
      </c>
      <c r="BM16" s="175">
        <v>31.94</v>
      </c>
      <c r="BN16" s="179">
        <v>998.67</v>
      </c>
      <c r="BO16" s="179">
        <v>50.07</v>
      </c>
      <c r="BP16" s="185">
        <v>0.9375</v>
      </c>
      <c r="BQ16" s="177">
        <v>90.09</v>
      </c>
      <c r="BR16" s="177">
        <v>83.52</v>
      </c>
      <c r="BS16" s="49">
        <f t="shared" si="14"/>
        <v>-6.5700000000000074</v>
      </c>
      <c r="BT16" s="175">
        <v>12609</v>
      </c>
      <c r="BU16" s="175">
        <v>12319</v>
      </c>
      <c r="BV16" s="51">
        <f t="shared" si="15"/>
        <v>-290</v>
      </c>
      <c r="BW16" s="175">
        <f t="shared" si="16"/>
        <v>3.3650000000000002</v>
      </c>
      <c r="BX16" s="177">
        <v>24</v>
      </c>
      <c r="BY16" s="177">
        <v>24</v>
      </c>
      <c r="CA16" s="177">
        <v>15.38</v>
      </c>
      <c r="CB16" s="177">
        <v>7.03</v>
      </c>
      <c r="CD16" s="177">
        <v>2.12</v>
      </c>
      <c r="CE16" s="177">
        <v>3.4</v>
      </c>
      <c r="CF16" s="177">
        <v>2.25</v>
      </c>
      <c r="CG16" s="177">
        <v>0.6</v>
      </c>
    </row>
    <row r="17" spans="1:89">
      <c r="A17" s="455"/>
      <c r="B17" s="154">
        <v>43112</v>
      </c>
      <c r="C17" s="157">
        <v>62.5</v>
      </c>
      <c r="D17" s="197">
        <v>0.64100000000000001</v>
      </c>
      <c r="E17" s="171">
        <v>52.5</v>
      </c>
      <c r="F17" s="159">
        <v>75</v>
      </c>
      <c r="G17" s="159">
        <v>54</v>
      </c>
      <c r="H17" s="159">
        <v>24</v>
      </c>
      <c r="I17" s="159">
        <v>0</v>
      </c>
      <c r="J17" s="159">
        <v>24</v>
      </c>
      <c r="K17" s="159">
        <v>0</v>
      </c>
      <c r="L17" s="161">
        <v>0</v>
      </c>
      <c r="M17" s="161">
        <v>0</v>
      </c>
      <c r="N17" s="161">
        <v>0</v>
      </c>
      <c r="O17" s="161">
        <v>0</v>
      </c>
      <c r="P17" s="161">
        <v>19</v>
      </c>
      <c r="Q17" s="161">
        <v>24</v>
      </c>
      <c r="R17" s="162">
        <v>3707</v>
      </c>
      <c r="S17" s="163">
        <v>3643</v>
      </c>
      <c r="T17" s="163">
        <v>3535</v>
      </c>
      <c r="U17" s="164">
        <v>3465</v>
      </c>
      <c r="V17" s="164">
        <v>3571</v>
      </c>
      <c r="W17" s="159">
        <v>45</v>
      </c>
      <c r="X17" s="159">
        <v>0</v>
      </c>
      <c r="Y17" s="159">
        <v>48</v>
      </c>
      <c r="Z17" s="159">
        <v>0</v>
      </c>
      <c r="AA17" s="159">
        <v>60</v>
      </c>
      <c r="AB17" s="159">
        <v>0</v>
      </c>
      <c r="AC17" s="165">
        <f t="shared" si="0"/>
        <v>106</v>
      </c>
      <c r="AD17" s="166">
        <f t="shared" si="1"/>
        <v>-70</v>
      </c>
      <c r="AE17" s="159">
        <v>157</v>
      </c>
      <c r="AF17" s="167">
        <f t="shared" si="2"/>
        <v>0.94771762208067944</v>
      </c>
      <c r="AG17" s="168">
        <f t="shared" si="3"/>
        <v>154.45833333333334</v>
      </c>
      <c r="AH17" s="167">
        <f t="shared" si="4"/>
        <v>0.93471810089020768</v>
      </c>
      <c r="AI17" s="169">
        <f t="shared" si="5"/>
        <v>1</v>
      </c>
      <c r="AJ17" s="170">
        <f t="shared" si="6"/>
        <v>0.98246187363834425</v>
      </c>
      <c r="AK17" s="236">
        <v>11.025</v>
      </c>
      <c r="AL17" s="240">
        <v>136.71</v>
      </c>
      <c r="AM17" s="171">
        <f t="shared" si="7"/>
        <v>1507.2277500000002</v>
      </c>
      <c r="AN17" s="236">
        <v>29.414999999999999</v>
      </c>
      <c r="AO17" s="233">
        <v>977</v>
      </c>
      <c r="AP17" s="172">
        <f t="shared" si="8"/>
        <v>28738.454999999998</v>
      </c>
      <c r="AQ17" s="202">
        <f t="shared" si="9"/>
        <v>8728.9127705627707</v>
      </c>
      <c r="AR17" s="199">
        <f t="shared" si="10"/>
        <v>151.79166666666666</v>
      </c>
      <c r="AS17" s="13"/>
      <c r="AT17" s="159">
        <v>0</v>
      </c>
      <c r="AU17" s="159">
        <v>0</v>
      </c>
      <c r="AV17" s="159">
        <v>0</v>
      </c>
      <c r="AW17" s="159">
        <v>0</v>
      </c>
      <c r="AX17" s="159">
        <v>14</v>
      </c>
      <c r="AY17" s="159">
        <v>276</v>
      </c>
      <c r="AZ17" s="159">
        <v>0</v>
      </c>
      <c r="BA17" s="4"/>
      <c r="BB17" s="175">
        <v>1077</v>
      </c>
      <c r="BC17" s="175">
        <v>1105</v>
      </c>
      <c r="BD17" s="175">
        <v>1389</v>
      </c>
      <c r="BE17" s="175">
        <f t="shared" si="11"/>
        <v>28</v>
      </c>
      <c r="BF17" s="177">
        <f t="shared" si="12"/>
        <v>8728.9127705627707</v>
      </c>
      <c r="BG17" s="177">
        <f t="shared" si="13"/>
        <v>57.875</v>
      </c>
      <c r="BH17" s="178">
        <v>1.792</v>
      </c>
      <c r="BI17" s="156">
        <v>1.7809999999999999</v>
      </c>
      <c r="BJ17" s="177">
        <v>27.98</v>
      </c>
      <c r="BK17" s="175">
        <v>27.7</v>
      </c>
      <c r="BL17" s="175">
        <v>22.21</v>
      </c>
      <c r="BM17" s="175">
        <v>31.93</v>
      </c>
      <c r="BN17" s="179">
        <v>996.63</v>
      </c>
      <c r="BO17" s="179">
        <v>50.01</v>
      </c>
      <c r="BP17" s="185">
        <v>0.93679999999999997</v>
      </c>
      <c r="BQ17" s="177">
        <v>91.87</v>
      </c>
      <c r="BR17" s="177">
        <v>83.43</v>
      </c>
      <c r="BS17" s="49">
        <f t="shared" si="14"/>
        <v>-8.4399999999999977</v>
      </c>
      <c r="BT17" s="175">
        <v>12088</v>
      </c>
      <c r="BU17" s="175">
        <v>11845</v>
      </c>
      <c r="BV17" s="51">
        <f t="shared" si="15"/>
        <v>-243</v>
      </c>
      <c r="BW17" s="175">
        <f t="shared" si="16"/>
        <v>3.573</v>
      </c>
      <c r="BX17" s="177">
        <v>24</v>
      </c>
      <c r="BY17" s="177">
        <v>24</v>
      </c>
      <c r="CA17" s="177">
        <v>19.52</v>
      </c>
      <c r="CB17" s="177">
        <v>5.33</v>
      </c>
      <c r="CD17" s="177">
        <v>2.15</v>
      </c>
      <c r="CE17" s="177">
        <v>3.5</v>
      </c>
      <c r="CF17" s="177">
        <v>2.25</v>
      </c>
      <c r="CG17" s="177">
        <v>0.6</v>
      </c>
    </row>
    <row r="18" spans="1:89">
      <c r="A18" s="455"/>
      <c r="B18" s="154">
        <v>43113</v>
      </c>
      <c r="C18" s="157">
        <v>60.3</v>
      </c>
      <c r="D18" s="197">
        <v>0.64300000000000002</v>
      </c>
      <c r="E18" s="171">
        <v>50.6</v>
      </c>
      <c r="F18" s="159">
        <v>75</v>
      </c>
      <c r="G18" s="159">
        <v>50</v>
      </c>
      <c r="H18" s="159">
        <v>24</v>
      </c>
      <c r="I18" s="159">
        <v>0</v>
      </c>
      <c r="J18" s="159">
        <v>24</v>
      </c>
      <c r="K18" s="159">
        <v>0</v>
      </c>
      <c r="L18" s="161">
        <v>0</v>
      </c>
      <c r="M18" s="161">
        <v>0</v>
      </c>
      <c r="N18" s="161">
        <v>0</v>
      </c>
      <c r="O18" s="161">
        <v>0</v>
      </c>
      <c r="P18" s="161">
        <v>24</v>
      </c>
      <c r="Q18" s="161">
        <v>0</v>
      </c>
      <c r="R18" s="162">
        <v>3710</v>
      </c>
      <c r="S18" s="163">
        <v>3635</v>
      </c>
      <c r="T18" s="163">
        <v>3635</v>
      </c>
      <c r="U18" s="164">
        <v>3552</v>
      </c>
      <c r="V18" s="164">
        <v>3661</v>
      </c>
      <c r="W18" s="159">
        <v>45</v>
      </c>
      <c r="X18" s="159">
        <v>0</v>
      </c>
      <c r="Y18" s="159">
        <v>46</v>
      </c>
      <c r="Z18" s="159">
        <v>0</v>
      </c>
      <c r="AA18" s="159">
        <v>60</v>
      </c>
      <c r="AB18" s="159">
        <v>0</v>
      </c>
      <c r="AC18" s="165">
        <f t="shared" si="0"/>
        <v>109</v>
      </c>
      <c r="AD18" s="166">
        <f t="shared" si="1"/>
        <v>-83</v>
      </c>
      <c r="AE18" s="159">
        <v>156</v>
      </c>
      <c r="AF18" s="167">
        <f t="shared" si="2"/>
        <v>0.97783119658119655</v>
      </c>
      <c r="AG18" s="168">
        <f t="shared" si="3"/>
        <v>154.58333333333334</v>
      </c>
      <c r="AH18" s="167">
        <f t="shared" si="4"/>
        <v>0.95741239892183283</v>
      </c>
      <c r="AI18" s="169">
        <f t="shared" si="5"/>
        <v>1</v>
      </c>
      <c r="AJ18" s="170">
        <f t="shared" si="6"/>
        <v>1</v>
      </c>
      <c r="AK18" s="236">
        <v>11.05</v>
      </c>
      <c r="AL18" s="240">
        <v>135.55000000000001</v>
      </c>
      <c r="AM18" s="171">
        <f t="shared" si="7"/>
        <v>1497.8275000000003</v>
      </c>
      <c r="AN18" s="236">
        <v>29.971</v>
      </c>
      <c r="AO18" s="233">
        <v>987</v>
      </c>
      <c r="AP18" s="172">
        <f t="shared" si="8"/>
        <v>29581.377</v>
      </c>
      <c r="AQ18" s="202">
        <f t="shared" si="9"/>
        <v>8749.7760416666679</v>
      </c>
      <c r="AR18" s="199">
        <f t="shared" si="10"/>
        <v>151.45833333333334</v>
      </c>
      <c r="AS18" s="13"/>
      <c r="AT18" s="159">
        <v>0</v>
      </c>
      <c r="AU18" s="159">
        <v>0</v>
      </c>
      <c r="AV18" s="159">
        <v>0</v>
      </c>
      <c r="AW18" s="159">
        <v>0</v>
      </c>
      <c r="AX18" s="159">
        <v>0</v>
      </c>
      <c r="AY18" s="159">
        <v>0</v>
      </c>
      <c r="AZ18" s="159">
        <v>0</v>
      </c>
      <c r="BA18" s="4"/>
      <c r="BB18" s="175">
        <v>1087</v>
      </c>
      <c r="BC18" s="175">
        <v>1116</v>
      </c>
      <c r="BD18" s="175">
        <v>1458</v>
      </c>
      <c r="BE18" s="175">
        <f t="shared" si="11"/>
        <v>29</v>
      </c>
      <c r="BF18" s="177">
        <f t="shared" si="12"/>
        <v>8749.7760416666679</v>
      </c>
      <c r="BG18" s="177">
        <f t="shared" si="13"/>
        <v>60.75</v>
      </c>
      <c r="BH18" s="178">
        <v>2.0739999999999998</v>
      </c>
      <c r="BI18" s="156">
        <v>2.0739999999999998</v>
      </c>
      <c r="BJ18" s="177">
        <v>27.6</v>
      </c>
      <c r="BK18" s="175">
        <v>27.65</v>
      </c>
      <c r="BL18" s="175">
        <v>22.27</v>
      </c>
      <c r="BM18" s="175">
        <v>31.88</v>
      </c>
      <c r="BN18" s="179">
        <v>997.3</v>
      </c>
      <c r="BO18" s="179">
        <v>50.07</v>
      </c>
      <c r="BP18" s="185">
        <v>0.93720000000000003</v>
      </c>
      <c r="BQ18" s="177">
        <v>91.92</v>
      </c>
      <c r="BR18" s="186">
        <v>83.4</v>
      </c>
      <c r="BS18" s="49">
        <f t="shared" si="14"/>
        <v>-8.519999999999996</v>
      </c>
      <c r="BT18" s="175">
        <v>11962</v>
      </c>
      <c r="BU18" s="175">
        <v>11747</v>
      </c>
      <c r="BV18" s="51">
        <f t="shared" si="15"/>
        <v>-215</v>
      </c>
      <c r="BW18" s="175">
        <f t="shared" si="16"/>
        <v>4.1479999999999997</v>
      </c>
      <c r="BX18" s="177">
        <v>24</v>
      </c>
      <c r="BY18" s="177">
        <v>24</v>
      </c>
      <c r="CA18" s="177">
        <v>20.07</v>
      </c>
      <c r="CB18" s="177">
        <v>5.47</v>
      </c>
      <c r="CD18" s="177">
        <v>2.2000000000000002</v>
      </c>
      <c r="CE18" s="177">
        <v>3.4</v>
      </c>
      <c r="CF18" s="177">
        <v>2.25</v>
      </c>
      <c r="CG18" s="177">
        <v>0.7</v>
      </c>
    </row>
    <row r="19" spans="1:89">
      <c r="A19" s="456"/>
      <c r="B19" s="154">
        <v>43114</v>
      </c>
      <c r="C19" s="157">
        <v>60.9</v>
      </c>
      <c r="D19" s="197">
        <v>0.60699999999999998</v>
      </c>
      <c r="E19" s="171">
        <v>50.3</v>
      </c>
      <c r="F19" s="159">
        <v>75</v>
      </c>
      <c r="G19" s="159">
        <v>51</v>
      </c>
      <c r="H19" s="159">
        <v>24</v>
      </c>
      <c r="I19" s="159">
        <v>0</v>
      </c>
      <c r="J19" s="159">
        <v>24</v>
      </c>
      <c r="K19" s="159">
        <v>0</v>
      </c>
      <c r="L19" s="159">
        <v>0</v>
      </c>
      <c r="M19" s="159">
        <v>0</v>
      </c>
      <c r="N19" s="187">
        <v>0</v>
      </c>
      <c r="O19" s="187">
        <v>0</v>
      </c>
      <c r="P19" s="187">
        <v>24</v>
      </c>
      <c r="Q19" s="187">
        <v>0</v>
      </c>
      <c r="R19" s="162">
        <v>3709</v>
      </c>
      <c r="S19" s="163">
        <v>3649</v>
      </c>
      <c r="T19" s="163">
        <v>3649</v>
      </c>
      <c r="U19" s="164">
        <v>3566</v>
      </c>
      <c r="V19" s="164">
        <v>3675</v>
      </c>
      <c r="W19" s="159">
        <v>46</v>
      </c>
      <c r="X19" s="159">
        <v>0</v>
      </c>
      <c r="Y19" s="159">
        <v>47</v>
      </c>
      <c r="Z19" s="159">
        <v>0</v>
      </c>
      <c r="AA19" s="159">
        <v>60</v>
      </c>
      <c r="AB19" s="159">
        <v>0</v>
      </c>
      <c r="AC19" s="165">
        <f t="shared" si="0"/>
        <v>109</v>
      </c>
      <c r="AD19" s="166">
        <f t="shared" si="1"/>
        <v>-83</v>
      </c>
      <c r="AE19" s="159">
        <v>157</v>
      </c>
      <c r="AF19" s="167">
        <f t="shared" si="2"/>
        <v>0.97531847133757965</v>
      </c>
      <c r="AG19" s="168">
        <f t="shared" si="3"/>
        <v>154.54166666666666</v>
      </c>
      <c r="AH19" s="167">
        <f t="shared" si="4"/>
        <v>0.96144513345915339</v>
      </c>
      <c r="AI19" s="169">
        <f t="shared" si="5"/>
        <v>1</v>
      </c>
      <c r="AJ19" s="170">
        <f t="shared" si="6"/>
        <v>1</v>
      </c>
      <c r="AK19" s="236">
        <v>11.07</v>
      </c>
      <c r="AL19" s="240">
        <v>136.21</v>
      </c>
      <c r="AM19" s="171">
        <f t="shared" si="7"/>
        <v>1507.8447000000001</v>
      </c>
      <c r="AN19" s="236">
        <v>30.088000000000001</v>
      </c>
      <c r="AO19" s="233">
        <v>987</v>
      </c>
      <c r="AP19" s="172">
        <f t="shared" si="8"/>
        <v>29696.856</v>
      </c>
      <c r="AQ19" s="202">
        <f t="shared" si="9"/>
        <v>8750.6171340437468</v>
      </c>
      <c r="AR19" s="199">
        <f t="shared" si="10"/>
        <v>152.04166666666666</v>
      </c>
      <c r="AS19" s="13"/>
      <c r="AT19" s="159">
        <v>0</v>
      </c>
      <c r="AU19" s="159">
        <v>0</v>
      </c>
      <c r="AV19" s="159">
        <v>0</v>
      </c>
      <c r="AW19" s="159">
        <v>0</v>
      </c>
      <c r="AX19" s="174">
        <v>0</v>
      </c>
      <c r="AY19" s="159">
        <v>0</v>
      </c>
      <c r="AZ19" s="159">
        <v>0</v>
      </c>
      <c r="BA19" s="4"/>
      <c r="BB19" s="175">
        <v>1102</v>
      </c>
      <c r="BC19" s="175">
        <v>1115</v>
      </c>
      <c r="BD19" s="175">
        <v>1458</v>
      </c>
      <c r="BE19" s="175">
        <f t="shared" si="11"/>
        <v>13</v>
      </c>
      <c r="BF19" s="177">
        <f t="shared" si="12"/>
        <v>8750.6171340437468</v>
      </c>
      <c r="BG19" s="177">
        <f t="shared" si="13"/>
        <v>60.75</v>
      </c>
      <c r="BH19" s="178">
        <v>2.0379999999999998</v>
      </c>
      <c r="BI19" s="156">
        <v>2.0379999999999998</v>
      </c>
      <c r="BJ19" s="177">
        <v>28</v>
      </c>
      <c r="BK19" s="175">
        <v>27.95</v>
      </c>
      <c r="BL19" s="175">
        <v>22.27</v>
      </c>
      <c r="BM19" s="175">
        <v>31.9</v>
      </c>
      <c r="BN19" s="179">
        <v>997.17</v>
      </c>
      <c r="BO19" s="179">
        <v>50.09</v>
      </c>
      <c r="BP19" s="180">
        <v>0.93700000000000006</v>
      </c>
      <c r="BQ19" s="186">
        <v>93.15</v>
      </c>
      <c r="BR19" s="186">
        <v>83.38</v>
      </c>
      <c r="BS19" s="49">
        <f t="shared" si="14"/>
        <v>-9.7700000000000102</v>
      </c>
      <c r="BT19" s="175">
        <v>11924</v>
      </c>
      <c r="BU19" s="175">
        <v>11736</v>
      </c>
      <c r="BV19" s="51">
        <f t="shared" si="15"/>
        <v>-188</v>
      </c>
      <c r="BW19" s="175">
        <f t="shared" si="16"/>
        <v>4.0759999999999996</v>
      </c>
      <c r="BX19" s="177">
        <v>24</v>
      </c>
      <c r="BY19" s="177">
        <v>24</v>
      </c>
      <c r="CA19" s="177">
        <v>23</v>
      </c>
      <c r="CB19" s="177">
        <v>7.17</v>
      </c>
      <c r="CD19" s="177">
        <v>2.25</v>
      </c>
      <c r="CE19" s="177">
        <v>3.7</v>
      </c>
      <c r="CF19" s="177">
        <v>2.2400000000000002</v>
      </c>
      <c r="CG19" s="177">
        <v>0.7</v>
      </c>
    </row>
    <row r="20" spans="1:89" ht="12.75" customHeight="1">
      <c r="A20" s="451" t="s">
        <v>80</v>
      </c>
      <c r="B20" s="24">
        <v>43115</v>
      </c>
      <c r="C20" s="25">
        <v>60.66</v>
      </c>
      <c r="D20" s="26">
        <v>0.62339999999999995</v>
      </c>
      <c r="E20" s="38">
        <v>50.37</v>
      </c>
      <c r="F20" s="27">
        <v>75</v>
      </c>
      <c r="G20" s="27">
        <v>49</v>
      </c>
      <c r="H20" s="27">
        <v>24</v>
      </c>
      <c r="I20" s="27">
        <v>0</v>
      </c>
      <c r="J20" s="27">
        <v>24</v>
      </c>
      <c r="K20" s="27">
        <v>0</v>
      </c>
      <c r="L20" s="27">
        <v>0</v>
      </c>
      <c r="M20" s="27">
        <v>0</v>
      </c>
      <c r="N20" s="29">
        <v>0</v>
      </c>
      <c r="O20" s="29">
        <v>0</v>
      </c>
      <c r="P20" s="29">
        <v>24</v>
      </c>
      <c r="Q20" s="29">
        <v>0</v>
      </c>
      <c r="R20" s="58">
        <v>3709</v>
      </c>
      <c r="S20" s="30">
        <v>3650</v>
      </c>
      <c r="T20" s="30">
        <v>3650</v>
      </c>
      <c r="U20" s="59">
        <v>3566</v>
      </c>
      <c r="V20" s="31">
        <v>3675</v>
      </c>
      <c r="W20" s="27">
        <v>45</v>
      </c>
      <c r="X20" s="27">
        <v>0</v>
      </c>
      <c r="Y20" s="27">
        <v>47</v>
      </c>
      <c r="Z20" s="27">
        <v>0</v>
      </c>
      <c r="AA20" s="27">
        <v>61</v>
      </c>
      <c r="AB20" s="27">
        <v>0</v>
      </c>
      <c r="AC20" s="32">
        <f t="shared" si="0"/>
        <v>109</v>
      </c>
      <c r="AD20" s="33">
        <f t="shared" si="1"/>
        <v>-84</v>
      </c>
      <c r="AE20" s="27">
        <v>157</v>
      </c>
      <c r="AF20" s="34">
        <f t="shared" si="2"/>
        <v>0.97531847133757965</v>
      </c>
      <c r="AG20" s="35">
        <f t="shared" si="3"/>
        <v>154.54166666666666</v>
      </c>
      <c r="AH20" s="34">
        <f t="shared" si="4"/>
        <v>0.96144513345915339</v>
      </c>
      <c r="AI20" s="36">
        <f t="shared" si="5"/>
        <v>1</v>
      </c>
      <c r="AJ20" s="37">
        <f t="shared" si="6"/>
        <v>1</v>
      </c>
      <c r="AK20" s="236">
        <v>11.03</v>
      </c>
      <c r="AL20" s="240">
        <v>135.04</v>
      </c>
      <c r="AM20" s="38">
        <f t="shared" si="7"/>
        <v>1489.4911999999999</v>
      </c>
      <c r="AN20" s="236">
        <v>30.210999999999999</v>
      </c>
      <c r="AO20" s="233">
        <v>985</v>
      </c>
      <c r="AP20" s="39">
        <f t="shared" si="8"/>
        <v>29757.834999999999</v>
      </c>
      <c r="AQ20" s="201">
        <f t="shared" si="9"/>
        <v>8762.5704430734713</v>
      </c>
      <c r="AR20" s="198">
        <f t="shared" si="10"/>
        <v>152.08333333333334</v>
      </c>
      <c r="AS20" s="13"/>
      <c r="AT20" s="27">
        <v>0</v>
      </c>
      <c r="AU20" s="40">
        <v>0</v>
      </c>
      <c r="AV20" s="40">
        <v>0</v>
      </c>
      <c r="AW20" s="27">
        <v>0</v>
      </c>
      <c r="AX20" s="40">
        <v>0</v>
      </c>
      <c r="AY20" s="27">
        <v>0</v>
      </c>
      <c r="AZ20" s="27">
        <v>0</v>
      </c>
      <c r="BA20" s="4"/>
      <c r="BB20" s="52">
        <v>1085</v>
      </c>
      <c r="BC20" s="52">
        <v>1119</v>
      </c>
      <c r="BD20" s="52">
        <v>1471</v>
      </c>
      <c r="BE20" s="41">
        <f t="shared" si="11"/>
        <v>34</v>
      </c>
      <c r="BF20" s="41">
        <f t="shared" si="12"/>
        <v>8762.5704430734713</v>
      </c>
      <c r="BG20" s="60">
        <f t="shared" si="13"/>
        <v>61.291666666666664</v>
      </c>
      <c r="BH20" s="61">
        <v>2.1259999999999999</v>
      </c>
      <c r="BI20" s="62">
        <v>2.1259999999999999</v>
      </c>
      <c r="BJ20" s="42">
        <v>28</v>
      </c>
      <c r="BK20" s="41">
        <v>27.75</v>
      </c>
      <c r="BL20" s="41">
        <v>22.41</v>
      </c>
      <c r="BM20" s="41">
        <v>31.73</v>
      </c>
      <c r="BN20" s="63">
        <v>998.1</v>
      </c>
      <c r="BO20" s="63">
        <v>50.1</v>
      </c>
      <c r="BP20" s="64">
        <v>0.93730000000000002</v>
      </c>
      <c r="BQ20" s="42">
        <v>91.59</v>
      </c>
      <c r="BR20" s="42">
        <v>83.45</v>
      </c>
      <c r="BS20" s="49">
        <f t="shared" si="14"/>
        <v>-8.14</v>
      </c>
      <c r="BT20" s="41">
        <v>12017</v>
      </c>
      <c r="BU20" s="41">
        <v>11758</v>
      </c>
      <c r="BV20" s="51">
        <f t="shared" si="15"/>
        <v>-259</v>
      </c>
      <c r="BW20" s="41">
        <f t="shared" si="16"/>
        <v>4.2519999999999998</v>
      </c>
      <c r="BX20" s="42">
        <v>24</v>
      </c>
      <c r="BY20" s="42">
        <v>24</v>
      </c>
      <c r="CA20" s="42">
        <v>19.38</v>
      </c>
      <c r="CB20" s="42">
        <v>7.3</v>
      </c>
      <c r="CD20" s="42">
        <v>2.2000000000000002</v>
      </c>
      <c r="CE20" s="42">
        <v>4.0999999999999996</v>
      </c>
      <c r="CF20" s="42">
        <v>2.25</v>
      </c>
      <c r="CG20" s="42">
        <v>0.75</v>
      </c>
    </row>
    <row r="21" spans="1:89">
      <c r="A21" s="452"/>
      <c r="B21" s="24">
        <v>43116</v>
      </c>
      <c r="C21" s="25">
        <v>60.06</v>
      </c>
      <c r="D21" s="26">
        <v>0.63549999999999995</v>
      </c>
      <c r="E21" s="38">
        <v>50.29</v>
      </c>
      <c r="F21" s="27">
        <v>72</v>
      </c>
      <c r="G21" s="27">
        <v>49</v>
      </c>
      <c r="H21" s="27">
        <v>24</v>
      </c>
      <c r="I21" s="27">
        <v>0</v>
      </c>
      <c r="J21" s="27">
        <v>6</v>
      </c>
      <c r="K21" s="27">
        <v>37</v>
      </c>
      <c r="L21" s="29">
        <v>0</v>
      </c>
      <c r="M21" s="29">
        <v>0</v>
      </c>
      <c r="N21" s="29">
        <v>0</v>
      </c>
      <c r="O21" s="29">
        <v>0</v>
      </c>
      <c r="P21" s="29">
        <v>6</v>
      </c>
      <c r="Q21" s="29">
        <v>34</v>
      </c>
      <c r="R21" s="58">
        <v>3713</v>
      </c>
      <c r="S21" s="30">
        <v>2350</v>
      </c>
      <c r="T21" s="30">
        <v>2350</v>
      </c>
      <c r="U21" s="59">
        <v>2308</v>
      </c>
      <c r="V21" s="31">
        <v>2393</v>
      </c>
      <c r="W21" s="27">
        <v>45</v>
      </c>
      <c r="X21" s="27">
        <v>0</v>
      </c>
      <c r="Y21" s="27">
        <v>47</v>
      </c>
      <c r="Z21" s="27">
        <v>978</v>
      </c>
      <c r="AA21" s="27">
        <v>61</v>
      </c>
      <c r="AB21" s="27">
        <v>0</v>
      </c>
      <c r="AC21" s="32">
        <f t="shared" si="0"/>
        <v>85</v>
      </c>
      <c r="AD21" s="33">
        <f t="shared" si="1"/>
        <v>-42</v>
      </c>
      <c r="AE21" s="27">
        <v>156</v>
      </c>
      <c r="AF21" s="34">
        <f t="shared" si="2"/>
        <v>0.63915598290598286</v>
      </c>
      <c r="AG21" s="35">
        <f t="shared" si="3"/>
        <v>154.70833333333334</v>
      </c>
      <c r="AH21" s="34">
        <f t="shared" si="4"/>
        <v>0.62159978454080256</v>
      </c>
      <c r="AI21" s="36">
        <f t="shared" si="5"/>
        <v>0.79136710239651409</v>
      </c>
      <c r="AJ21" s="37">
        <f t="shared" si="6"/>
        <v>0.64360357661583156</v>
      </c>
      <c r="AK21" s="236">
        <v>3.27</v>
      </c>
      <c r="AL21" s="240">
        <v>141.62</v>
      </c>
      <c r="AM21" s="38">
        <f t="shared" si="7"/>
        <v>463.09739999999999</v>
      </c>
      <c r="AN21" s="236">
        <v>20.617999999999999</v>
      </c>
      <c r="AO21" s="233">
        <v>986</v>
      </c>
      <c r="AP21" s="39">
        <f t="shared" si="8"/>
        <v>20329.347999999998</v>
      </c>
      <c r="AQ21" s="201">
        <f t="shared" si="9"/>
        <v>9008.8584922010377</v>
      </c>
      <c r="AR21" s="198">
        <f t="shared" si="10"/>
        <v>97.916666666666671</v>
      </c>
      <c r="AS21" s="13"/>
      <c r="AT21" s="27">
        <v>0</v>
      </c>
      <c r="AU21" s="40">
        <v>0</v>
      </c>
      <c r="AV21" s="40">
        <v>23</v>
      </c>
      <c r="AW21" s="27">
        <v>65</v>
      </c>
      <c r="AX21" s="40">
        <v>29.7</v>
      </c>
      <c r="AY21" s="27">
        <v>1045.8</v>
      </c>
      <c r="AZ21" s="27">
        <v>0</v>
      </c>
      <c r="BA21" s="4"/>
      <c r="BB21" s="52">
        <v>1092</v>
      </c>
      <c r="BC21" s="52">
        <v>352</v>
      </c>
      <c r="BD21" s="52">
        <v>949</v>
      </c>
      <c r="BE21" s="41">
        <f t="shared" si="11"/>
        <v>-740</v>
      </c>
      <c r="BF21" s="41">
        <f t="shared" si="12"/>
        <v>9008.8584922010377</v>
      </c>
      <c r="BG21" s="60">
        <f t="shared" si="13"/>
        <v>39.541666666666664</v>
      </c>
      <c r="BH21" s="43">
        <v>2.3889999999999998</v>
      </c>
      <c r="BI21" s="44">
        <v>0.60199999999999998</v>
      </c>
      <c r="BJ21" s="45">
        <v>28</v>
      </c>
      <c r="BK21" s="47">
        <v>27.79</v>
      </c>
      <c r="BL21" s="47">
        <v>7.31</v>
      </c>
      <c r="BM21" s="47">
        <v>9.74</v>
      </c>
      <c r="BN21" s="47">
        <v>993.58</v>
      </c>
      <c r="BO21" s="45">
        <v>50.12</v>
      </c>
      <c r="BP21" s="48">
        <v>0.93469999999999998</v>
      </c>
      <c r="BQ21" s="42">
        <v>91.99</v>
      </c>
      <c r="BR21" s="42">
        <v>86.34</v>
      </c>
      <c r="BS21" s="49">
        <f t="shared" si="14"/>
        <v>-5.6499999999999915</v>
      </c>
      <c r="BT21" s="41">
        <v>11960</v>
      </c>
      <c r="BU21" s="41">
        <v>11486</v>
      </c>
      <c r="BV21" s="51">
        <f t="shared" si="15"/>
        <v>-474</v>
      </c>
      <c r="BW21" s="41">
        <f t="shared" si="16"/>
        <v>2.9909999999999997</v>
      </c>
      <c r="BX21" s="42">
        <v>24</v>
      </c>
      <c r="BY21" s="42">
        <v>7</v>
      </c>
      <c r="CA21" s="42">
        <v>20.88</v>
      </c>
      <c r="CB21" s="42">
        <v>6.9</v>
      </c>
      <c r="CD21" s="42">
        <v>2.2000000000000002</v>
      </c>
      <c r="CE21" s="42">
        <v>4.2</v>
      </c>
      <c r="CF21" s="42">
        <v>2.25</v>
      </c>
      <c r="CG21" s="42">
        <v>3.3</v>
      </c>
    </row>
    <row r="22" spans="1:89">
      <c r="A22" s="452"/>
      <c r="B22" s="24">
        <v>43117</v>
      </c>
      <c r="C22" s="25">
        <v>58.88</v>
      </c>
      <c r="D22" s="26">
        <v>0.6482</v>
      </c>
      <c r="E22" s="38">
        <v>49.88</v>
      </c>
      <c r="F22" s="27">
        <v>70</v>
      </c>
      <c r="G22" s="27">
        <v>50</v>
      </c>
      <c r="H22" s="27">
        <v>24</v>
      </c>
      <c r="I22" s="27">
        <v>0</v>
      </c>
      <c r="J22" s="27">
        <v>24</v>
      </c>
      <c r="K22" s="27">
        <v>0</v>
      </c>
      <c r="L22" s="29">
        <v>0</v>
      </c>
      <c r="M22" s="29">
        <v>0</v>
      </c>
      <c r="N22" s="29">
        <v>0</v>
      </c>
      <c r="O22" s="29">
        <v>0</v>
      </c>
      <c r="P22" s="29">
        <v>24</v>
      </c>
      <c r="Q22" s="29">
        <v>0</v>
      </c>
      <c r="R22" s="58">
        <v>3718</v>
      </c>
      <c r="S22" s="30">
        <v>3676</v>
      </c>
      <c r="T22" s="30">
        <v>3676</v>
      </c>
      <c r="U22" s="65">
        <v>3602</v>
      </c>
      <c r="V22" s="31">
        <v>3713</v>
      </c>
      <c r="W22" s="27">
        <v>45</v>
      </c>
      <c r="X22" s="27">
        <v>0</v>
      </c>
      <c r="Y22" s="27">
        <v>50</v>
      </c>
      <c r="Z22" s="27">
        <v>0</v>
      </c>
      <c r="AA22" s="27">
        <v>60</v>
      </c>
      <c r="AB22" s="27">
        <v>0</v>
      </c>
      <c r="AC22" s="32">
        <f t="shared" si="0"/>
        <v>111</v>
      </c>
      <c r="AD22" s="33">
        <f t="shared" si="1"/>
        <v>-74</v>
      </c>
      <c r="AE22" s="27">
        <v>157</v>
      </c>
      <c r="AF22" s="34">
        <f t="shared" si="2"/>
        <v>0.98540339702760082</v>
      </c>
      <c r="AG22" s="35">
        <f t="shared" si="3"/>
        <v>154.91666666666666</v>
      </c>
      <c r="AH22" s="34">
        <f t="shared" si="4"/>
        <v>0.96880043033889185</v>
      </c>
      <c r="AI22" s="36">
        <f t="shared" si="5"/>
        <v>1</v>
      </c>
      <c r="AJ22" s="37">
        <f t="shared" si="6"/>
        <v>1</v>
      </c>
      <c r="AK22" s="235">
        <v>11.015000000000001</v>
      </c>
      <c r="AL22" s="239">
        <v>135.09</v>
      </c>
      <c r="AM22" s="38">
        <f t="shared" si="7"/>
        <v>1488.0163500000001</v>
      </c>
      <c r="AN22" s="235">
        <v>30.398</v>
      </c>
      <c r="AO22" s="232">
        <v>978</v>
      </c>
      <c r="AP22" s="39">
        <f t="shared" si="8"/>
        <v>29729.243999999999</v>
      </c>
      <c r="AQ22" s="201">
        <f t="shared" si="9"/>
        <v>8666.6464047751251</v>
      </c>
      <c r="AR22" s="198">
        <f t="shared" si="10"/>
        <v>153.16666666666666</v>
      </c>
      <c r="AS22" s="13"/>
      <c r="AT22" s="27">
        <v>0</v>
      </c>
      <c r="AU22" s="40">
        <v>0</v>
      </c>
      <c r="AV22" s="40">
        <v>0</v>
      </c>
      <c r="AW22" s="27">
        <v>0</v>
      </c>
      <c r="AX22" s="40">
        <v>0</v>
      </c>
      <c r="AY22" s="27">
        <v>0</v>
      </c>
      <c r="AZ22" s="27">
        <v>0</v>
      </c>
      <c r="BA22" s="4"/>
      <c r="BB22" s="52">
        <v>1084</v>
      </c>
      <c r="BC22" s="52">
        <v>1187</v>
      </c>
      <c r="BD22" s="52">
        <v>1442</v>
      </c>
      <c r="BE22" s="41">
        <f t="shared" si="11"/>
        <v>103</v>
      </c>
      <c r="BF22" s="41">
        <f t="shared" si="12"/>
        <v>8666.6464047751251</v>
      </c>
      <c r="BG22" s="60">
        <f t="shared" si="13"/>
        <v>60.083333333333336</v>
      </c>
      <c r="BH22" s="43">
        <v>1.9470000000000001</v>
      </c>
      <c r="BI22" s="44">
        <v>1.9470000000000001</v>
      </c>
      <c r="BJ22" s="45">
        <v>28</v>
      </c>
      <c r="BK22" s="47">
        <v>27.83</v>
      </c>
      <c r="BL22" s="47">
        <v>23.34</v>
      </c>
      <c r="BM22" s="47">
        <v>31.72</v>
      </c>
      <c r="BN22" s="66">
        <v>993.9</v>
      </c>
      <c r="BO22" s="45">
        <v>50.1</v>
      </c>
      <c r="BP22" s="48">
        <v>0.9375</v>
      </c>
      <c r="BQ22" s="42">
        <v>91.5</v>
      </c>
      <c r="BR22" s="42">
        <v>86.13</v>
      </c>
      <c r="BS22" s="49">
        <f t="shared" si="14"/>
        <v>-5.3700000000000045</v>
      </c>
      <c r="BT22" s="41">
        <v>12074</v>
      </c>
      <c r="BU22" s="41">
        <v>11424</v>
      </c>
      <c r="BV22" s="51">
        <f t="shared" si="15"/>
        <v>-650</v>
      </c>
      <c r="BW22" s="41">
        <f t="shared" si="16"/>
        <v>3.8940000000000001</v>
      </c>
      <c r="BX22" s="42">
        <v>24</v>
      </c>
      <c r="BY22" s="42">
        <v>24</v>
      </c>
      <c r="CA22" s="42">
        <v>19.12</v>
      </c>
      <c r="CB22" s="42">
        <v>10.38</v>
      </c>
      <c r="CD22" s="42">
        <v>2.2000000000000002</v>
      </c>
      <c r="CE22" s="42">
        <v>4.2</v>
      </c>
      <c r="CF22" s="42">
        <v>2.25</v>
      </c>
      <c r="CG22" s="42">
        <v>3.3</v>
      </c>
    </row>
    <row r="23" spans="1:89">
      <c r="A23" s="452"/>
      <c r="B23" s="24">
        <v>43118</v>
      </c>
      <c r="C23" s="25">
        <v>59</v>
      </c>
      <c r="D23" s="26">
        <v>0.62</v>
      </c>
      <c r="E23" s="38">
        <v>50</v>
      </c>
      <c r="F23" s="27">
        <v>73</v>
      </c>
      <c r="G23" s="27">
        <v>49</v>
      </c>
      <c r="H23" s="27">
        <v>24</v>
      </c>
      <c r="I23" s="27">
        <v>0</v>
      </c>
      <c r="J23" s="27">
        <v>24</v>
      </c>
      <c r="K23" s="27">
        <v>0</v>
      </c>
      <c r="L23" s="29">
        <v>0</v>
      </c>
      <c r="M23" s="29">
        <v>0</v>
      </c>
      <c r="N23" s="29">
        <v>0</v>
      </c>
      <c r="O23" s="29">
        <v>0</v>
      </c>
      <c r="P23" s="29">
        <v>24</v>
      </c>
      <c r="Q23" s="29">
        <v>0</v>
      </c>
      <c r="R23" s="67">
        <v>3712</v>
      </c>
      <c r="S23" s="30">
        <v>3677</v>
      </c>
      <c r="T23" s="30">
        <v>3677</v>
      </c>
      <c r="U23" s="59">
        <v>3609</v>
      </c>
      <c r="V23" s="31">
        <v>3718</v>
      </c>
      <c r="W23" s="27">
        <v>45</v>
      </c>
      <c r="X23" s="27">
        <v>0</v>
      </c>
      <c r="Y23" s="27">
        <v>49</v>
      </c>
      <c r="Z23" s="27">
        <v>0</v>
      </c>
      <c r="AA23" s="27">
        <v>60</v>
      </c>
      <c r="AB23" s="27">
        <v>0</v>
      </c>
      <c r="AC23" s="32">
        <f t="shared" si="0"/>
        <v>109</v>
      </c>
      <c r="AD23" s="33">
        <f t="shared" si="1"/>
        <v>-68</v>
      </c>
      <c r="AE23" s="27">
        <v>158</v>
      </c>
      <c r="AF23" s="34">
        <f t="shared" si="2"/>
        <v>0.98048523206751059</v>
      </c>
      <c r="AG23" s="35">
        <f t="shared" si="3"/>
        <v>154.66666666666666</v>
      </c>
      <c r="AH23" s="34">
        <f t="shared" si="4"/>
        <v>0.97225215517241381</v>
      </c>
      <c r="AI23" s="36">
        <f t="shared" si="5"/>
        <v>1</v>
      </c>
      <c r="AJ23" s="37">
        <f t="shared" si="6"/>
        <v>1</v>
      </c>
      <c r="AK23" s="235">
        <v>11.013</v>
      </c>
      <c r="AL23" s="239">
        <v>136.46</v>
      </c>
      <c r="AM23" s="38">
        <f t="shared" si="7"/>
        <v>1502.8339800000001</v>
      </c>
      <c r="AN23" s="235">
        <v>30.689</v>
      </c>
      <c r="AO23" s="232">
        <v>971.45</v>
      </c>
      <c r="AP23" s="39">
        <f t="shared" si="8"/>
        <v>29812.82905</v>
      </c>
      <c r="AQ23" s="201">
        <f t="shared" si="9"/>
        <v>8677.1025297866436</v>
      </c>
      <c r="AR23" s="198">
        <f t="shared" si="10"/>
        <v>153.20833333333334</v>
      </c>
      <c r="AS23" s="13"/>
      <c r="AT23" s="27">
        <v>0</v>
      </c>
      <c r="AU23" s="40">
        <v>0</v>
      </c>
      <c r="AV23" s="40">
        <v>0</v>
      </c>
      <c r="AW23" s="27">
        <v>0</v>
      </c>
      <c r="AX23" s="40">
        <v>0</v>
      </c>
      <c r="AY23" s="27">
        <v>0</v>
      </c>
      <c r="AZ23" s="27">
        <v>0</v>
      </c>
      <c r="BA23" s="4"/>
      <c r="BB23" s="52">
        <v>1092</v>
      </c>
      <c r="BC23" s="52">
        <v>1191</v>
      </c>
      <c r="BD23" s="52">
        <v>1435</v>
      </c>
      <c r="BE23" s="41">
        <f t="shared" si="11"/>
        <v>99</v>
      </c>
      <c r="BF23" s="41">
        <f t="shared" si="12"/>
        <v>8677.1025297866436</v>
      </c>
      <c r="BG23" s="60">
        <f t="shared" si="13"/>
        <v>59.791666666666664</v>
      </c>
      <c r="BH23" s="43">
        <v>1.9219999999999999</v>
      </c>
      <c r="BI23" s="44">
        <v>1.9219999999999999</v>
      </c>
      <c r="BJ23" s="45">
        <v>27.6</v>
      </c>
      <c r="BK23" s="47">
        <v>28.27</v>
      </c>
      <c r="BL23" s="47">
        <v>23.6</v>
      </c>
      <c r="BM23" s="47">
        <v>31.51</v>
      </c>
      <c r="BN23" s="47">
        <v>998</v>
      </c>
      <c r="BO23" s="45">
        <v>50.1</v>
      </c>
      <c r="BP23" s="48">
        <v>0.93679999999999997</v>
      </c>
      <c r="BQ23" s="42">
        <v>91.69</v>
      </c>
      <c r="BR23" s="42">
        <v>86.12</v>
      </c>
      <c r="BS23" s="49">
        <f t="shared" si="14"/>
        <v>-5.5699999999999932</v>
      </c>
      <c r="BT23" s="41">
        <v>12178</v>
      </c>
      <c r="BU23" s="41">
        <v>11489</v>
      </c>
      <c r="BV23" s="51">
        <f t="shared" si="15"/>
        <v>-689</v>
      </c>
      <c r="BW23" s="41">
        <f t="shared" si="16"/>
        <v>3.8439999999999999</v>
      </c>
      <c r="BX23" s="42">
        <v>24</v>
      </c>
      <c r="BY23" s="42">
        <v>24</v>
      </c>
      <c r="CA23" s="42">
        <v>19.899999999999999</v>
      </c>
      <c r="CB23" s="42">
        <v>7.4</v>
      </c>
      <c r="CD23" s="42">
        <v>2.2000000000000002</v>
      </c>
      <c r="CE23" s="42">
        <v>4.2</v>
      </c>
      <c r="CF23" s="42">
        <v>2.25</v>
      </c>
      <c r="CG23" s="42">
        <v>3.2</v>
      </c>
    </row>
    <row r="24" spans="1:89">
      <c r="A24" s="452"/>
      <c r="B24" s="24">
        <v>43119</v>
      </c>
      <c r="C24" s="25">
        <v>60</v>
      </c>
      <c r="D24" s="26">
        <v>0.59</v>
      </c>
      <c r="E24" s="38">
        <v>49</v>
      </c>
      <c r="F24" s="28">
        <v>72</v>
      </c>
      <c r="G24" s="28">
        <v>47</v>
      </c>
      <c r="H24" s="28">
        <v>24</v>
      </c>
      <c r="I24" s="28">
        <v>0</v>
      </c>
      <c r="J24" s="28">
        <v>24</v>
      </c>
      <c r="K24" s="28">
        <v>0</v>
      </c>
      <c r="L24" s="28">
        <v>0</v>
      </c>
      <c r="M24" s="28">
        <v>0</v>
      </c>
      <c r="N24" s="28">
        <v>0</v>
      </c>
      <c r="O24" s="28">
        <v>0</v>
      </c>
      <c r="P24" s="28">
        <v>22</v>
      </c>
      <c r="Q24" s="28">
        <v>23</v>
      </c>
      <c r="R24" s="67">
        <v>3712</v>
      </c>
      <c r="S24" s="68">
        <v>3683</v>
      </c>
      <c r="T24" s="69">
        <v>3649</v>
      </c>
      <c r="U24" s="70">
        <v>3586</v>
      </c>
      <c r="V24" s="70">
        <v>3695</v>
      </c>
      <c r="W24" s="28">
        <v>44</v>
      </c>
      <c r="X24" s="28">
        <v>0</v>
      </c>
      <c r="Y24" s="28">
        <v>49</v>
      </c>
      <c r="Z24" s="28">
        <v>0</v>
      </c>
      <c r="AA24" s="28">
        <v>60</v>
      </c>
      <c r="AB24" s="28">
        <v>0</v>
      </c>
      <c r="AC24" s="32">
        <f t="shared" si="0"/>
        <v>109</v>
      </c>
      <c r="AD24" s="33">
        <f t="shared" si="1"/>
        <v>-63</v>
      </c>
      <c r="AE24" s="28">
        <v>157</v>
      </c>
      <c r="AF24" s="34">
        <f t="shared" si="2"/>
        <v>0.98062632696390661</v>
      </c>
      <c r="AG24" s="35">
        <f t="shared" si="3"/>
        <v>154.66666666666666</v>
      </c>
      <c r="AH24" s="34">
        <f t="shared" si="4"/>
        <v>0.96605603448275867</v>
      </c>
      <c r="AI24" s="36">
        <f t="shared" si="5"/>
        <v>1</v>
      </c>
      <c r="AJ24" s="37">
        <f t="shared" si="6"/>
        <v>0.994276506899056</v>
      </c>
      <c r="AK24" s="235">
        <v>11.002000000000001</v>
      </c>
      <c r="AL24" s="239">
        <v>134.11000000000001</v>
      </c>
      <c r="AM24" s="38">
        <f t="shared" si="7"/>
        <v>1475.4782200000002</v>
      </c>
      <c r="AN24" s="235">
        <v>30.530999999999999</v>
      </c>
      <c r="AO24" s="232">
        <v>969</v>
      </c>
      <c r="AP24" s="39">
        <f t="shared" si="8"/>
        <v>29584.538999999997</v>
      </c>
      <c r="AQ24" s="201">
        <f t="shared" si="9"/>
        <v>8661.4660401561632</v>
      </c>
      <c r="AR24" s="198">
        <f t="shared" si="10"/>
        <v>153.45833333333334</v>
      </c>
      <c r="AS24" s="13"/>
      <c r="AT24" s="28">
        <v>0</v>
      </c>
      <c r="AU24" s="28">
        <v>0</v>
      </c>
      <c r="AV24" s="28">
        <v>0</v>
      </c>
      <c r="AW24" s="28">
        <v>0</v>
      </c>
      <c r="AX24" s="28">
        <v>13</v>
      </c>
      <c r="AY24" s="28">
        <v>97</v>
      </c>
      <c r="AZ24" s="28">
        <v>0</v>
      </c>
      <c r="BA24" s="4"/>
      <c r="BB24" s="52">
        <v>1064</v>
      </c>
      <c r="BC24" s="52">
        <v>1194</v>
      </c>
      <c r="BD24" s="52">
        <v>1437</v>
      </c>
      <c r="BE24" s="41">
        <f t="shared" si="11"/>
        <v>130</v>
      </c>
      <c r="BF24" s="41">
        <f t="shared" si="12"/>
        <v>8661.4660401561632</v>
      </c>
      <c r="BG24" s="60">
        <f t="shared" si="13"/>
        <v>59.875</v>
      </c>
      <c r="BH24" s="71">
        <v>1.9219999999999999</v>
      </c>
      <c r="BI24" s="71">
        <v>1.9139999999999999</v>
      </c>
      <c r="BJ24" s="72">
        <v>27</v>
      </c>
      <c r="BK24" s="72">
        <v>27.8</v>
      </c>
      <c r="BL24" s="72">
        <v>23.7</v>
      </c>
      <c r="BM24" s="72">
        <v>31.56</v>
      </c>
      <c r="BN24" s="73">
        <v>998.4</v>
      </c>
      <c r="BO24" s="73">
        <v>50.07</v>
      </c>
      <c r="BP24" s="74">
        <v>0.9375</v>
      </c>
      <c r="BQ24" s="54">
        <v>88.86</v>
      </c>
      <c r="BR24" s="54">
        <v>85.99</v>
      </c>
      <c r="BS24" s="49">
        <f t="shared" si="14"/>
        <v>-2.8700000000000045</v>
      </c>
      <c r="BT24" s="55">
        <v>12293</v>
      </c>
      <c r="BU24" s="55">
        <v>11523</v>
      </c>
      <c r="BV24" s="51">
        <f t="shared" si="15"/>
        <v>-770</v>
      </c>
      <c r="BW24" s="41">
        <f t="shared" si="16"/>
        <v>3.8359999999999999</v>
      </c>
      <c r="BX24" s="73">
        <v>24</v>
      </c>
      <c r="BY24" s="73">
        <v>24</v>
      </c>
      <c r="CA24" s="73">
        <v>13.5</v>
      </c>
      <c r="CB24" s="73">
        <v>3.9</v>
      </c>
      <c r="CD24" s="73">
        <v>2.2000000000000002</v>
      </c>
      <c r="CE24" s="73">
        <v>4.2</v>
      </c>
      <c r="CF24" s="73">
        <v>1.8</v>
      </c>
      <c r="CG24" s="73">
        <v>1.5</v>
      </c>
    </row>
    <row r="25" spans="1:89">
      <c r="A25" s="452"/>
      <c r="B25" s="24">
        <v>43120</v>
      </c>
      <c r="C25" s="25">
        <v>62.9</v>
      </c>
      <c r="D25" s="26">
        <v>0.55500000000000005</v>
      </c>
      <c r="E25" s="38">
        <v>50.4</v>
      </c>
      <c r="F25" s="75">
        <v>75</v>
      </c>
      <c r="G25" s="75">
        <v>52</v>
      </c>
      <c r="H25" s="27">
        <v>24</v>
      </c>
      <c r="I25" s="27">
        <v>0</v>
      </c>
      <c r="J25" s="27">
        <v>24</v>
      </c>
      <c r="K25" s="27">
        <v>0</v>
      </c>
      <c r="L25" s="29">
        <v>0</v>
      </c>
      <c r="M25" s="29">
        <v>0</v>
      </c>
      <c r="N25" s="29">
        <v>0</v>
      </c>
      <c r="O25" s="29">
        <v>0</v>
      </c>
      <c r="P25" s="29">
        <v>18</v>
      </c>
      <c r="Q25" s="29">
        <v>52</v>
      </c>
      <c r="R25" s="67">
        <v>3704</v>
      </c>
      <c r="S25" s="68">
        <v>3666</v>
      </c>
      <c r="T25" s="76">
        <v>3559</v>
      </c>
      <c r="U25" s="31">
        <v>3505</v>
      </c>
      <c r="V25" s="31">
        <v>3610</v>
      </c>
      <c r="W25" s="27">
        <v>44</v>
      </c>
      <c r="X25" s="27">
        <v>0</v>
      </c>
      <c r="Y25" s="27">
        <v>49</v>
      </c>
      <c r="Z25" s="27">
        <v>0</v>
      </c>
      <c r="AA25" s="27">
        <v>60</v>
      </c>
      <c r="AB25" s="27">
        <v>0</v>
      </c>
      <c r="AC25" s="32">
        <f t="shared" si="0"/>
        <v>105</v>
      </c>
      <c r="AD25" s="33">
        <f t="shared" si="1"/>
        <v>-54</v>
      </c>
      <c r="AE25" s="28">
        <v>157</v>
      </c>
      <c r="AF25" s="34">
        <f t="shared" si="2"/>
        <v>0.95806794055201694</v>
      </c>
      <c r="AG25" s="35">
        <f t="shared" si="3"/>
        <v>154.33333333333334</v>
      </c>
      <c r="AH25" s="34">
        <f t="shared" si="4"/>
        <v>0.94627429805615548</v>
      </c>
      <c r="AI25" s="36">
        <f t="shared" si="5"/>
        <v>1</v>
      </c>
      <c r="AJ25" s="37">
        <f t="shared" si="6"/>
        <v>0.98322440087145968</v>
      </c>
      <c r="AK25" s="235">
        <v>11.007</v>
      </c>
      <c r="AL25" s="239">
        <v>136.80000000000001</v>
      </c>
      <c r="AM25" s="38">
        <f t="shared" si="7"/>
        <v>1505.7576000000001</v>
      </c>
      <c r="AN25" s="235">
        <v>29.509</v>
      </c>
      <c r="AO25" s="232">
        <v>974</v>
      </c>
      <c r="AP25" s="39">
        <f t="shared" si="8"/>
        <v>28741.766</v>
      </c>
      <c r="AQ25" s="201">
        <f t="shared" si="9"/>
        <v>8629.8212838801719</v>
      </c>
      <c r="AR25" s="198">
        <f t="shared" si="10"/>
        <v>152.75</v>
      </c>
      <c r="AS25" s="13"/>
      <c r="AT25" s="27">
        <v>0</v>
      </c>
      <c r="AU25" s="40">
        <v>0</v>
      </c>
      <c r="AV25" s="40">
        <v>0</v>
      </c>
      <c r="AW25" s="27">
        <v>0</v>
      </c>
      <c r="AX25" s="40">
        <v>12</v>
      </c>
      <c r="AY25" s="27">
        <v>308</v>
      </c>
      <c r="AZ25" s="27">
        <v>0</v>
      </c>
      <c r="BA25" s="4"/>
      <c r="BB25" s="52">
        <v>1051</v>
      </c>
      <c r="BC25" s="52">
        <v>1182</v>
      </c>
      <c r="BD25" s="52">
        <v>1377</v>
      </c>
      <c r="BE25" s="41">
        <f t="shared" si="11"/>
        <v>131</v>
      </c>
      <c r="BF25" s="41">
        <f t="shared" si="12"/>
        <v>8629.8212838801719</v>
      </c>
      <c r="BG25" s="60">
        <f t="shared" si="13"/>
        <v>57.375</v>
      </c>
      <c r="BH25" s="43">
        <v>1.613</v>
      </c>
      <c r="BI25" s="44">
        <v>1.585</v>
      </c>
      <c r="BJ25" s="45">
        <v>27</v>
      </c>
      <c r="BK25" s="47">
        <v>27.3</v>
      </c>
      <c r="BL25" s="47">
        <v>23.3</v>
      </c>
      <c r="BM25" s="47">
        <v>31.4</v>
      </c>
      <c r="BN25" s="47">
        <v>996.5</v>
      </c>
      <c r="BO25" s="45">
        <v>50.03</v>
      </c>
      <c r="BP25" s="48">
        <v>0.93679999999999997</v>
      </c>
      <c r="BQ25" s="54">
        <v>89.2</v>
      </c>
      <c r="BR25" s="54">
        <v>86</v>
      </c>
      <c r="BS25" s="49">
        <f t="shared" si="14"/>
        <v>-3.2000000000000028</v>
      </c>
      <c r="BT25" s="55">
        <v>12198</v>
      </c>
      <c r="BU25" s="55">
        <v>11455</v>
      </c>
      <c r="BV25" s="51">
        <f t="shared" si="15"/>
        <v>-743</v>
      </c>
      <c r="BW25" s="41">
        <f t="shared" si="16"/>
        <v>3.198</v>
      </c>
      <c r="BX25" s="42">
        <v>24</v>
      </c>
      <c r="BY25" s="42">
        <v>24</v>
      </c>
      <c r="CA25" s="42">
        <v>14</v>
      </c>
      <c r="CB25" s="42">
        <v>2.8</v>
      </c>
      <c r="CD25" s="42">
        <v>2.2000000000000002</v>
      </c>
      <c r="CE25" s="42">
        <v>4.0999999999999996</v>
      </c>
      <c r="CF25" s="42">
        <v>1.8</v>
      </c>
      <c r="CG25" s="42">
        <v>1.4</v>
      </c>
    </row>
    <row r="26" spans="1:89">
      <c r="A26" s="453"/>
      <c r="B26" s="24">
        <v>43121</v>
      </c>
      <c r="C26" s="25">
        <v>61.2</v>
      </c>
      <c r="D26" s="26">
        <v>0.57599999999999996</v>
      </c>
      <c r="E26" s="38">
        <v>49.4</v>
      </c>
      <c r="F26" s="28">
        <v>76</v>
      </c>
      <c r="G26" s="28">
        <v>50</v>
      </c>
      <c r="H26" s="27">
        <v>24</v>
      </c>
      <c r="I26" s="27">
        <v>0</v>
      </c>
      <c r="J26" s="27">
        <v>24</v>
      </c>
      <c r="K26" s="27">
        <v>0</v>
      </c>
      <c r="L26" s="29">
        <v>0</v>
      </c>
      <c r="M26" s="29">
        <v>0</v>
      </c>
      <c r="N26" s="29">
        <v>0</v>
      </c>
      <c r="O26" s="29">
        <v>0</v>
      </c>
      <c r="P26" s="29">
        <v>22</v>
      </c>
      <c r="Q26" s="29">
        <v>10</v>
      </c>
      <c r="R26" s="67">
        <v>3704</v>
      </c>
      <c r="S26" s="68">
        <v>3656</v>
      </c>
      <c r="T26" s="76">
        <v>3620</v>
      </c>
      <c r="U26" s="31">
        <v>3552</v>
      </c>
      <c r="V26" s="31">
        <v>3659</v>
      </c>
      <c r="W26" s="27">
        <v>44</v>
      </c>
      <c r="X26" s="28">
        <v>0</v>
      </c>
      <c r="Y26" s="28">
        <v>49</v>
      </c>
      <c r="Z26" s="28">
        <v>0</v>
      </c>
      <c r="AA26" s="28">
        <v>60</v>
      </c>
      <c r="AB26" s="28">
        <v>0</v>
      </c>
      <c r="AC26" s="32">
        <f t="shared" si="0"/>
        <v>107</v>
      </c>
      <c r="AD26" s="33">
        <f t="shared" si="1"/>
        <v>-68</v>
      </c>
      <c r="AE26" s="28">
        <v>157</v>
      </c>
      <c r="AF26" s="34">
        <f t="shared" si="2"/>
        <v>0.97107218683651808</v>
      </c>
      <c r="AG26" s="35">
        <f t="shared" si="3"/>
        <v>154.33333333333334</v>
      </c>
      <c r="AH26" s="34">
        <f t="shared" si="4"/>
        <v>0.95896328293736499</v>
      </c>
      <c r="AI26" s="36">
        <f t="shared" si="5"/>
        <v>1</v>
      </c>
      <c r="AJ26" s="37">
        <f t="shared" si="6"/>
        <v>0.99301016702977485</v>
      </c>
      <c r="AK26" s="235">
        <v>11.004</v>
      </c>
      <c r="AL26" s="239">
        <v>136.54</v>
      </c>
      <c r="AM26" s="38">
        <f t="shared" si="7"/>
        <v>1502.4861599999999</v>
      </c>
      <c r="AN26" s="235">
        <v>29.966000000000001</v>
      </c>
      <c r="AO26" s="232">
        <v>977</v>
      </c>
      <c r="AP26" s="39">
        <f t="shared" si="8"/>
        <v>29276.781999999999</v>
      </c>
      <c r="AQ26" s="201">
        <f t="shared" si="9"/>
        <v>8665.3345045045044</v>
      </c>
      <c r="AR26" s="198">
        <f t="shared" si="10"/>
        <v>152.33333333333334</v>
      </c>
      <c r="AS26" s="13"/>
      <c r="AT26" s="27">
        <v>0</v>
      </c>
      <c r="AU26" s="40">
        <v>0</v>
      </c>
      <c r="AV26" s="40">
        <v>0</v>
      </c>
      <c r="AW26" s="27">
        <v>0</v>
      </c>
      <c r="AX26" s="40">
        <v>14</v>
      </c>
      <c r="AY26" s="27">
        <v>110</v>
      </c>
      <c r="AZ26" s="27">
        <v>0</v>
      </c>
      <c r="BA26" s="4"/>
      <c r="BB26" s="52">
        <v>1056</v>
      </c>
      <c r="BC26" s="52">
        <v>1180</v>
      </c>
      <c r="BD26" s="52">
        <v>1423</v>
      </c>
      <c r="BE26" s="41">
        <f t="shared" si="11"/>
        <v>124</v>
      </c>
      <c r="BF26" s="41">
        <f t="shared" si="12"/>
        <v>8665.3345045045044</v>
      </c>
      <c r="BG26" s="60">
        <f t="shared" si="13"/>
        <v>59.291666666666664</v>
      </c>
      <c r="BH26" s="43">
        <v>1.954</v>
      </c>
      <c r="BI26" s="44">
        <v>1.9450000000000001</v>
      </c>
      <c r="BJ26" s="45">
        <v>27</v>
      </c>
      <c r="BK26" s="47">
        <v>27.3</v>
      </c>
      <c r="BL26" s="47">
        <v>23.3</v>
      </c>
      <c r="BM26" s="47">
        <v>31.3</v>
      </c>
      <c r="BN26" s="47">
        <v>994.2</v>
      </c>
      <c r="BO26" s="45">
        <v>50.08</v>
      </c>
      <c r="BP26" s="48">
        <v>0.93669999999999998</v>
      </c>
      <c r="BQ26" s="54">
        <v>88.6</v>
      </c>
      <c r="BR26" s="54">
        <v>85.9</v>
      </c>
      <c r="BS26" s="49">
        <f t="shared" si="14"/>
        <v>-2.6999999999999886</v>
      </c>
      <c r="BT26" s="55">
        <v>12178</v>
      </c>
      <c r="BU26" s="55">
        <v>11469</v>
      </c>
      <c r="BV26" s="51">
        <f t="shared" si="15"/>
        <v>-709</v>
      </c>
      <c r="BW26" s="41">
        <f t="shared" si="16"/>
        <v>3.899</v>
      </c>
      <c r="BX26" s="42">
        <v>24</v>
      </c>
      <c r="BY26" s="42">
        <v>24</v>
      </c>
      <c r="CA26" s="42">
        <v>12.9</v>
      </c>
      <c r="CB26" s="42">
        <v>5.9</v>
      </c>
      <c r="CD26" s="42">
        <v>2.1</v>
      </c>
      <c r="CE26" s="42">
        <v>3.2</v>
      </c>
      <c r="CF26" s="42">
        <v>1.8</v>
      </c>
      <c r="CG26" s="42">
        <v>1.4</v>
      </c>
    </row>
    <row r="27" spans="1:89" ht="12.75" customHeight="1">
      <c r="A27" s="454" t="s">
        <v>81</v>
      </c>
      <c r="B27" s="154">
        <v>43122</v>
      </c>
      <c r="C27" s="157">
        <v>59.4</v>
      </c>
      <c r="D27" s="197">
        <v>0.59599999999999997</v>
      </c>
      <c r="E27" s="171">
        <v>48.6</v>
      </c>
      <c r="F27" s="160">
        <v>72</v>
      </c>
      <c r="G27" s="160">
        <v>48</v>
      </c>
      <c r="H27" s="160">
        <v>24</v>
      </c>
      <c r="I27" s="160">
        <v>0</v>
      </c>
      <c r="J27" s="160">
        <v>24</v>
      </c>
      <c r="K27" s="160">
        <v>0</v>
      </c>
      <c r="L27" s="188">
        <v>0</v>
      </c>
      <c r="M27" s="188">
        <v>0</v>
      </c>
      <c r="N27" s="188">
        <v>0</v>
      </c>
      <c r="O27" s="188">
        <v>0</v>
      </c>
      <c r="P27" s="188">
        <v>24</v>
      </c>
      <c r="Q27" s="188">
        <v>0</v>
      </c>
      <c r="R27" s="189">
        <v>3714</v>
      </c>
      <c r="S27" s="190">
        <v>3667</v>
      </c>
      <c r="T27" s="190">
        <v>3667</v>
      </c>
      <c r="U27" s="164">
        <v>3585</v>
      </c>
      <c r="V27" s="164">
        <v>3694</v>
      </c>
      <c r="W27" s="160">
        <v>44</v>
      </c>
      <c r="X27" s="160">
        <v>0</v>
      </c>
      <c r="Y27" s="160">
        <v>49</v>
      </c>
      <c r="Z27" s="160">
        <v>0</v>
      </c>
      <c r="AA27" s="160">
        <v>61</v>
      </c>
      <c r="AB27" s="160">
        <v>0</v>
      </c>
      <c r="AC27" s="165">
        <f t="shared" si="0"/>
        <v>109</v>
      </c>
      <c r="AD27" s="166">
        <f t="shared" si="1"/>
        <v>-82</v>
      </c>
      <c r="AE27" s="160">
        <v>157</v>
      </c>
      <c r="AF27" s="167">
        <f t="shared" si="2"/>
        <v>0.98036093418259018</v>
      </c>
      <c r="AG27" s="168">
        <f t="shared" si="3"/>
        <v>154.75</v>
      </c>
      <c r="AH27" s="167">
        <f t="shared" si="4"/>
        <v>0.96526655896607427</v>
      </c>
      <c r="AI27" s="169">
        <f t="shared" si="5"/>
        <v>1</v>
      </c>
      <c r="AJ27" s="170">
        <f t="shared" si="6"/>
        <v>1</v>
      </c>
      <c r="AK27" s="235">
        <v>11.007</v>
      </c>
      <c r="AL27" s="239">
        <v>134.54</v>
      </c>
      <c r="AM27" s="171">
        <f t="shared" si="7"/>
        <v>1480.8817799999999</v>
      </c>
      <c r="AN27" s="235">
        <v>30.498999999999999</v>
      </c>
      <c r="AO27" s="232">
        <v>977</v>
      </c>
      <c r="AP27" s="172">
        <f t="shared" si="8"/>
        <v>29797.522999999997</v>
      </c>
      <c r="AQ27" s="202">
        <f t="shared" si="9"/>
        <v>8724.7991018131106</v>
      </c>
      <c r="AR27" s="199">
        <f t="shared" si="10"/>
        <v>152.79166666666666</v>
      </c>
      <c r="AS27" s="13"/>
      <c r="AT27" s="159">
        <v>0</v>
      </c>
      <c r="AU27" s="174">
        <v>0</v>
      </c>
      <c r="AV27" s="174">
        <v>0</v>
      </c>
      <c r="AW27" s="159">
        <v>0</v>
      </c>
      <c r="AX27" s="174">
        <v>0</v>
      </c>
      <c r="AY27" s="159">
        <v>0</v>
      </c>
      <c r="AZ27" s="159">
        <v>0</v>
      </c>
      <c r="BA27" s="4"/>
      <c r="BB27" s="175">
        <v>1049</v>
      </c>
      <c r="BC27" s="175">
        <v>1180</v>
      </c>
      <c r="BD27" s="175">
        <v>1465</v>
      </c>
      <c r="BE27" s="175">
        <f t="shared" si="11"/>
        <v>131</v>
      </c>
      <c r="BF27" s="175">
        <f t="shared" si="12"/>
        <v>8724.7991018131106</v>
      </c>
      <c r="BG27" s="177">
        <f t="shared" si="13"/>
        <v>61.041666666666664</v>
      </c>
      <c r="BH27" s="191">
        <v>2.1560000000000001</v>
      </c>
      <c r="BI27" s="155">
        <v>2.1560000000000001</v>
      </c>
      <c r="BJ27" s="181">
        <v>27</v>
      </c>
      <c r="BK27" s="192">
        <v>27.3</v>
      </c>
      <c r="BL27" s="192">
        <v>23.3</v>
      </c>
      <c r="BM27" s="192">
        <v>31.2</v>
      </c>
      <c r="BN27" s="192">
        <v>993</v>
      </c>
      <c r="BO27" s="192">
        <v>50.02</v>
      </c>
      <c r="BP27" s="193">
        <v>0.93740000000000001</v>
      </c>
      <c r="BQ27" s="194">
        <v>88</v>
      </c>
      <c r="BR27" s="194">
        <v>85.9</v>
      </c>
      <c r="BS27" s="49">
        <f t="shared" si="14"/>
        <v>-2.0999999999999943</v>
      </c>
      <c r="BT27" s="194">
        <v>12229</v>
      </c>
      <c r="BU27" s="194">
        <v>11498</v>
      </c>
      <c r="BV27" s="51">
        <f t="shared" si="15"/>
        <v>-731</v>
      </c>
      <c r="BW27" s="175">
        <f t="shared" si="16"/>
        <v>4.3120000000000003</v>
      </c>
      <c r="BX27" s="177">
        <v>24</v>
      </c>
      <c r="BY27" s="177">
        <v>24</v>
      </c>
      <c r="CA27" s="177">
        <v>10.93</v>
      </c>
      <c r="CB27" s="177">
        <v>4.4800000000000004</v>
      </c>
      <c r="CD27" s="177">
        <v>2.2000000000000002</v>
      </c>
      <c r="CE27" s="177">
        <v>3.6</v>
      </c>
      <c r="CF27" s="177">
        <v>1.8</v>
      </c>
      <c r="CG27" s="177">
        <v>2.2000000000000002</v>
      </c>
    </row>
    <row r="28" spans="1:89">
      <c r="A28" s="455"/>
      <c r="B28" s="154">
        <v>43123</v>
      </c>
      <c r="C28" s="157">
        <v>57.3</v>
      </c>
      <c r="D28" s="197">
        <v>0.67400000000000004</v>
      </c>
      <c r="E28" s="171">
        <v>49.1</v>
      </c>
      <c r="F28" s="160">
        <v>68</v>
      </c>
      <c r="G28" s="160">
        <v>49</v>
      </c>
      <c r="H28" s="160">
        <v>24</v>
      </c>
      <c r="I28" s="160">
        <v>0</v>
      </c>
      <c r="J28" s="160">
        <v>24</v>
      </c>
      <c r="K28" s="160">
        <v>0</v>
      </c>
      <c r="L28" s="188">
        <v>0</v>
      </c>
      <c r="M28" s="188">
        <v>0</v>
      </c>
      <c r="N28" s="188">
        <v>0</v>
      </c>
      <c r="O28" s="188">
        <v>0</v>
      </c>
      <c r="P28" s="188">
        <v>24</v>
      </c>
      <c r="Q28" s="188">
        <v>0</v>
      </c>
      <c r="R28" s="189">
        <v>3720</v>
      </c>
      <c r="S28" s="163">
        <v>3675</v>
      </c>
      <c r="T28" s="163">
        <v>3675</v>
      </c>
      <c r="U28" s="164">
        <v>3598</v>
      </c>
      <c r="V28" s="164">
        <v>3707</v>
      </c>
      <c r="W28" s="160">
        <v>44</v>
      </c>
      <c r="X28" s="160">
        <v>0</v>
      </c>
      <c r="Y28" s="160">
        <v>49</v>
      </c>
      <c r="Z28" s="160">
        <v>0</v>
      </c>
      <c r="AA28" s="160">
        <v>61</v>
      </c>
      <c r="AB28" s="160">
        <v>0</v>
      </c>
      <c r="AC28" s="165">
        <f t="shared" si="0"/>
        <v>109</v>
      </c>
      <c r="AD28" s="166">
        <f t="shared" si="1"/>
        <v>-77</v>
      </c>
      <c r="AE28" s="160">
        <v>157</v>
      </c>
      <c r="AF28" s="167">
        <f t="shared" si="2"/>
        <v>0.98381104033970279</v>
      </c>
      <c r="AG28" s="168">
        <f t="shared" si="3"/>
        <v>155</v>
      </c>
      <c r="AH28" s="167">
        <f t="shared" si="4"/>
        <v>0.96720430107526878</v>
      </c>
      <c r="AI28" s="169">
        <f t="shared" si="5"/>
        <v>1</v>
      </c>
      <c r="AJ28" s="170">
        <f t="shared" si="6"/>
        <v>1</v>
      </c>
      <c r="AK28" s="235">
        <v>11.01</v>
      </c>
      <c r="AL28" s="239">
        <v>135.54</v>
      </c>
      <c r="AM28" s="171">
        <f t="shared" si="7"/>
        <v>1492.2954</v>
      </c>
      <c r="AN28" s="235">
        <v>30.439</v>
      </c>
      <c r="AO28" s="232">
        <v>978</v>
      </c>
      <c r="AP28" s="172">
        <f t="shared" si="8"/>
        <v>29769.342000000001</v>
      </c>
      <c r="AQ28" s="202">
        <f t="shared" si="9"/>
        <v>8688.6151750972749</v>
      </c>
      <c r="AR28" s="199">
        <f t="shared" si="10"/>
        <v>153.125</v>
      </c>
      <c r="AS28" s="13"/>
      <c r="AT28" s="159">
        <v>0</v>
      </c>
      <c r="AU28" s="174">
        <v>0</v>
      </c>
      <c r="AV28" s="159">
        <v>0</v>
      </c>
      <c r="AW28" s="159">
        <v>0</v>
      </c>
      <c r="AX28" s="174">
        <v>0</v>
      </c>
      <c r="AY28" s="159">
        <v>0</v>
      </c>
      <c r="AZ28" s="159">
        <v>0</v>
      </c>
      <c r="BA28" s="4"/>
      <c r="BB28" s="175">
        <v>1065</v>
      </c>
      <c r="BC28" s="175">
        <v>1176</v>
      </c>
      <c r="BD28" s="175">
        <v>1466</v>
      </c>
      <c r="BE28" s="175">
        <f t="shared" si="11"/>
        <v>111</v>
      </c>
      <c r="BF28" s="175">
        <f t="shared" si="12"/>
        <v>8688.6151750972749</v>
      </c>
      <c r="BG28" s="177">
        <f t="shared" si="13"/>
        <v>61.083333333333336</v>
      </c>
      <c r="BH28" s="191">
        <v>2.0840000000000001</v>
      </c>
      <c r="BI28" s="155">
        <v>2.0840000000000001</v>
      </c>
      <c r="BJ28" s="181">
        <v>27</v>
      </c>
      <c r="BK28" s="192">
        <v>27.6</v>
      </c>
      <c r="BL28" s="192">
        <v>23.2</v>
      </c>
      <c r="BM28" s="192">
        <v>31.3</v>
      </c>
      <c r="BN28" s="195">
        <v>992</v>
      </c>
      <c r="BO28" s="192">
        <v>50.06</v>
      </c>
      <c r="BP28" s="193">
        <v>0.93679999999999997</v>
      </c>
      <c r="BQ28" s="194">
        <v>89.8</v>
      </c>
      <c r="BR28" s="194">
        <v>85.8</v>
      </c>
      <c r="BS28" s="49">
        <f t="shared" si="14"/>
        <v>-4</v>
      </c>
      <c r="BT28" s="194">
        <v>12170</v>
      </c>
      <c r="BU28" s="194">
        <v>11454</v>
      </c>
      <c r="BV28" s="51">
        <f t="shared" si="15"/>
        <v>-716</v>
      </c>
      <c r="BW28" s="175">
        <f t="shared" si="16"/>
        <v>4.1680000000000001</v>
      </c>
      <c r="BX28" s="177">
        <v>24</v>
      </c>
      <c r="BY28" s="177">
        <v>24</v>
      </c>
      <c r="CA28" s="177">
        <v>14.7</v>
      </c>
      <c r="CB28" s="177">
        <v>6.16</v>
      </c>
      <c r="CD28" s="177">
        <v>2.2000000000000002</v>
      </c>
      <c r="CE28" s="177">
        <v>3.5</v>
      </c>
      <c r="CF28" s="177">
        <v>1.85</v>
      </c>
      <c r="CG28" s="177">
        <v>2.2999999999999998</v>
      </c>
    </row>
    <row r="29" spans="1:89">
      <c r="A29" s="455"/>
      <c r="B29" s="154">
        <v>43124</v>
      </c>
      <c r="C29" s="157">
        <v>51.6</v>
      </c>
      <c r="D29" s="197">
        <v>0.85</v>
      </c>
      <c r="E29" s="171">
        <v>48.3</v>
      </c>
      <c r="F29" s="160">
        <v>59</v>
      </c>
      <c r="G29" s="160">
        <v>45</v>
      </c>
      <c r="H29" s="160">
        <v>24</v>
      </c>
      <c r="I29" s="160">
        <v>0</v>
      </c>
      <c r="J29" s="160">
        <v>21</v>
      </c>
      <c r="K29" s="160">
        <v>28</v>
      </c>
      <c r="L29" s="188">
        <v>0</v>
      </c>
      <c r="M29" s="188">
        <v>0</v>
      </c>
      <c r="N29" s="188">
        <v>0</v>
      </c>
      <c r="O29" s="188">
        <v>0</v>
      </c>
      <c r="P29" s="188">
        <v>21</v>
      </c>
      <c r="Q29" s="188">
        <v>6</v>
      </c>
      <c r="R29" s="189">
        <v>3720</v>
      </c>
      <c r="S29" s="163">
        <v>3501</v>
      </c>
      <c r="T29" s="163">
        <v>3501</v>
      </c>
      <c r="U29" s="164">
        <v>3437</v>
      </c>
      <c r="V29" s="164">
        <v>3543</v>
      </c>
      <c r="W29" s="160">
        <v>44</v>
      </c>
      <c r="X29" s="160">
        <v>0</v>
      </c>
      <c r="Y29" s="160">
        <v>49</v>
      </c>
      <c r="Z29" s="160">
        <v>104</v>
      </c>
      <c r="AA29" s="160">
        <v>61</v>
      </c>
      <c r="AB29" s="160">
        <v>0</v>
      </c>
      <c r="AC29" s="165">
        <f t="shared" si="0"/>
        <v>106</v>
      </c>
      <c r="AD29" s="166">
        <f t="shared" si="1"/>
        <v>-64</v>
      </c>
      <c r="AE29" s="160">
        <v>158</v>
      </c>
      <c r="AF29" s="167">
        <f t="shared" si="2"/>
        <v>0.93433544303797467</v>
      </c>
      <c r="AG29" s="168">
        <f t="shared" si="3"/>
        <v>155</v>
      </c>
      <c r="AH29" s="167">
        <f t="shared" si="4"/>
        <v>0.92392473118279572</v>
      </c>
      <c r="AI29" s="169">
        <f t="shared" si="5"/>
        <v>0.97702020202020212</v>
      </c>
      <c r="AJ29" s="170">
        <f t="shared" si="6"/>
        <v>0.94750180375180371</v>
      </c>
      <c r="AK29" s="235">
        <v>9.6999999999999993</v>
      </c>
      <c r="AL29" s="239">
        <v>138.38999999999999</v>
      </c>
      <c r="AM29" s="171">
        <f t="shared" si="7"/>
        <v>1342.3829999999998</v>
      </c>
      <c r="AN29" s="235">
        <v>29.341999999999999</v>
      </c>
      <c r="AO29" s="232">
        <v>978</v>
      </c>
      <c r="AP29" s="172">
        <f t="shared" si="8"/>
        <v>28696.475999999999</v>
      </c>
      <c r="AQ29" s="202">
        <f t="shared" si="9"/>
        <v>8739.8484143148071</v>
      </c>
      <c r="AR29" s="199">
        <f t="shared" si="10"/>
        <v>145.875</v>
      </c>
      <c r="AS29" s="13"/>
      <c r="AT29" s="159">
        <v>0</v>
      </c>
      <c r="AU29" s="174">
        <v>0</v>
      </c>
      <c r="AV29" s="174">
        <v>24</v>
      </c>
      <c r="AW29" s="159">
        <v>48</v>
      </c>
      <c r="AX29" s="174">
        <v>31</v>
      </c>
      <c r="AY29" s="159">
        <v>174</v>
      </c>
      <c r="AZ29" s="159">
        <v>0</v>
      </c>
      <c r="BA29" s="4"/>
      <c r="BB29" s="175">
        <v>1064</v>
      </c>
      <c r="BC29" s="175">
        <v>1080</v>
      </c>
      <c r="BD29" s="175">
        <v>1399</v>
      </c>
      <c r="BE29" s="175">
        <f t="shared" si="11"/>
        <v>16</v>
      </c>
      <c r="BF29" s="175">
        <f t="shared" si="12"/>
        <v>8739.8484143148071</v>
      </c>
      <c r="BG29" s="177">
        <f t="shared" si="13"/>
        <v>58.291666666666664</v>
      </c>
      <c r="BH29" s="191">
        <v>2.16</v>
      </c>
      <c r="BI29" s="155">
        <v>1.863</v>
      </c>
      <c r="BJ29" s="181">
        <v>27</v>
      </c>
      <c r="BK29" s="192">
        <v>27.48</v>
      </c>
      <c r="BL29" s="192">
        <v>29.6</v>
      </c>
      <c r="BM29" s="192">
        <v>28.95</v>
      </c>
      <c r="BN29" s="195">
        <v>994.71</v>
      </c>
      <c r="BO29" s="181">
        <v>50.06</v>
      </c>
      <c r="BP29" s="193">
        <v>0.93559999999999999</v>
      </c>
      <c r="BQ29" s="194">
        <v>88.03</v>
      </c>
      <c r="BR29" s="194">
        <v>85.47</v>
      </c>
      <c r="BS29" s="49">
        <f t="shared" si="14"/>
        <v>-2.5600000000000023</v>
      </c>
      <c r="BT29" s="194">
        <v>12155</v>
      </c>
      <c r="BU29" s="194">
        <v>11509</v>
      </c>
      <c r="BV29" s="51">
        <f t="shared" si="15"/>
        <v>-646</v>
      </c>
      <c r="BW29" s="175">
        <f t="shared" si="16"/>
        <v>4.0229999999999997</v>
      </c>
      <c r="BX29" s="177">
        <v>24</v>
      </c>
      <c r="BY29" s="177">
        <v>21.88</v>
      </c>
      <c r="CA29" s="177">
        <v>10.42</v>
      </c>
      <c r="CB29" s="177">
        <v>6.13</v>
      </c>
      <c r="CD29" s="177">
        <v>2.2000000000000002</v>
      </c>
      <c r="CE29" s="177">
        <v>3.8</v>
      </c>
      <c r="CF29" s="177">
        <v>1.8</v>
      </c>
      <c r="CG29" s="177">
        <v>2.25</v>
      </c>
      <c r="CK29">
        <v>4</v>
      </c>
    </row>
    <row r="30" spans="1:89">
      <c r="A30" s="455"/>
      <c r="B30" s="154">
        <v>43125</v>
      </c>
      <c r="C30" s="157">
        <v>49.9</v>
      </c>
      <c r="D30" s="197">
        <v>0.89</v>
      </c>
      <c r="E30" s="171">
        <v>47.3</v>
      </c>
      <c r="F30" s="160">
        <v>57</v>
      </c>
      <c r="G30" s="160">
        <v>45</v>
      </c>
      <c r="H30" s="160">
        <v>24</v>
      </c>
      <c r="I30" s="160">
        <v>0</v>
      </c>
      <c r="J30" s="160">
        <v>24</v>
      </c>
      <c r="K30" s="160">
        <v>0</v>
      </c>
      <c r="L30" s="188">
        <v>0</v>
      </c>
      <c r="M30" s="188">
        <v>0</v>
      </c>
      <c r="N30" s="188">
        <v>0</v>
      </c>
      <c r="O30" s="188">
        <v>0</v>
      </c>
      <c r="P30" s="188">
        <v>24</v>
      </c>
      <c r="Q30" s="188">
        <v>0</v>
      </c>
      <c r="R30" s="189">
        <v>3720</v>
      </c>
      <c r="S30" s="163">
        <v>3703</v>
      </c>
      <c r="T30" s="163">
        <v>3703</v>
      </c>
      <c r="U30" s="164">
        <v>3618</v>
      </c>
      <c r="V30" s="164">
        <v>3725</v>
      </c>
      <c r="W30" s="160">
        <v>44</v>
      </c>
      <c r="X30" s="160">
        <v>0</v>
      </c>
      <c r="Y30" s="160">
        <v>49</v>
      </c>
      <c r="Z30" s="160">
        <v>0</v>
      </c>
      <c r="AA30" s="160">
        <v>63</v>
      </c>
      <c r="AB30" s="160">
        <v>0</v>
      </c>
      <c r="AC30" s="165">
        <f t="shared" si="0"/>
        <v>107</v>
      </c>
      <c r="AD30" s="166">
        <f t="shared" si="1"/>
        <v>-85</v>
      </c>
      <c r="AE30" s="160">
        <v>156</v>
      </c>
      <c r="AF30" s="167">
        <f t="shared" si="2"/>
        <v>0.99492521367521369</v>
      </c>
      <c r="AG30" s="168">
        <f t="shared" si="3"/>
        <v>155</v>
      </c>
      <c r="AH30" s="167">
        <f t="shared" si="4"/>
        <v>0.97258064516129028</v>
      </c>
      <c r="AI30" s="169">
        <f t="shared" si="5"/>
        <v>1</v>
      </c>
      <c r="AJ30" s="170">
        <f t="shared" si="6"/>
        <v>1</v>
      </c>
      <c r="AK30" s="235">
        <v>10.815</v>
      </c>
      <c r="AL30" s="239">
        <v>135.31</v>
      </c>
      <c r="AM30" s="171">
        <f t="shared" si="7"/>
        <v>1463.3776499999999</v>
      </c>
      <c r="AN30" s="235">
        <v>30.693999999999999</v>
      </c>
      <c r="AO30" s="232">
        <v>978</v>
      </c>
      <c r="AP30" s="172">
        <f t="shared" si="8"/>
        <v>30018.732</v>
      </c>
      <c r="AQ30" s="202">
        <f t="shared" si="9"/>
        <v>8701.5228441127692</v>
      </c>
      <c r="AR30" s="199">
        <f t="shared" si="10"/>
        <v>154.29166666666666</v>
      </c>
      <c r="AS30" s="13"/>
      <c r="AT30" s="159">
        <v>0</v>
      </c>
      <c r="AU30" s="174">
        <v>0</v>
      </c>
      <c r="AV30" s="174">
        <v>0</v>
      </c>
      <c r="AW30" s="159">
        <v>0</v>
      </c>
      <c r="AX30" s="174">
        <v>0</v>
      </c>
      <c r="AY30" s="159">
        <v>0</v>
      </c>
      <c r="AZ30" s="159">
        <v>0</v>
      </c>
      <c r="BA30" s="4"/>
      <c r="BB30" s="175">
        <v>1048</v>
      </c>
      <c r="BC30" s="175">
        <v>1176</v>
      </c>
      <c r="BD30" s="175">
        <v>1501</v>
      </c>
      <c r="BE30" s="175">
        <f t="shared" si="11"/>
        <v>128</v>
      </c>
      <c r="BF30" s="175">
        <f t="shared" si="12"/>
        <v>8701.5228441127692</v>
      </c>
      <c r="BG30" s="177">
        <f t="shared" si="13"/>
        <v>62.541666666666664</v>
      </c>
      <c r="BH30" s="191">
        <v>2.2589999999999999</v>
      </c>
      <c r="BI30" s="155">
        <v>2.2589999999999999</v>
      </c>
      <c r="BJ30" s="181">
        <v>27</v>
      </c>
      <c r="BK30" s="192">
        <v>27.21</v>
      </c>
      <c r="BL30" s="195">
        <v>23.46</v>
      </c>
      <c r="BM30" s="192">
        <v>30.86</v>
      </c>
      <c r="BN30" s="192">
        <v>995.21</v>
      </c>
      <c r="BO30" s="192">
        <v>50.01</v>
      </c>
      <c r="BP30" s="193">
        <v>0.93669999999999998</v>
      </c>
      <c r="BQ30" s="194">
        <v>86.45</v>
      </c>
      <c r="BR30" s="181">
        <v>84.95</v>
      </c>
      <c r="BS30" s="49">
        <f t="shared" si="14"/>
        <v>-1.5</v>
      </c>
      <c r="BT30" s="194">
        <v>12199</v>
      </c>
      <c r="BU30" s="175">
        <v>11521</v>
      </c>
      <c r="BV30" s="51">
        <f t="shared" si="15"/>
        <v>-678</v>
      </c>
      <c r="BW30" s="175">
        <f t="shared" si="16"/>
        <v>4.5179999999999998</v>
      </c>
      <c r="BX30" s="177">
        <v>24</v>
      </c>
      <c r="BY30" s="177">
        <v>24</v>
      </c>
      <c r="CA30" s="177">
        <v>7.47</v>
      </c>
      <c r="CB30" s="177">
        <v>7.8</v>
      </c>
      <c r="CD30" s="177">
        <v>2.2000000000000002</v>
      </c>
      <c r="CE30" s="177">
        <v>3.8</v>
      </c>
      <c r="CF30" s="177">
        <v>1.8</v>
      </c>
      <c r="CG30" s="177">
        <v>1.7</v>
      </c>
      <c r="CK30">
        <v>4.0999999999999996</v>
      </c>
    </row>
    <row r="31" spans="1:89">
      <c r="A31" s="455"/>
      <c r="B31" s="154">
        <v>43126</v>
      </c>
      <c r="C31" s="157">
        <v>50.2</v>
      </c>
      <c r="D31" s="197">
        <v>0.86499999999999999</v>
      </c>
      <c r="E31" s="171">
        <v>46.9</v>
      </c>
      <c r="F31" s="160">
        <v>60</v>
      </c>
      <c r="G31" s="160">
        <v>44</v>
      </c>
      <c r="H31" s="160">
        <v>21</v>
      </c>
      <c r="I31" s="160">
        <v>26</v>
      </c>
      <c r="J31" s="160">
        <v>24</v>
      </c>
      <c r="K31" s="160">
        <v>0</v>
      </c>
      <c r="L31" s="187">
        <v>0</v>
      </c>
      <c r="M31" s="187">
        <v>0</v>
      </c>
      <c r="N31" s="187">
        <v>0</v>
      </c>
      <c r="O31" s="187">
        <v>0</v>
      </c>
      <c r="P31" s="187">
        <v>21</v>
      </c>
      <c r="Q31" s="187">
        <v>10</v>
      </c>
      <c r="R31" s="189">
        <v>3720</v>
      </c>
      <c r="S31" s="163">
        <v>3468</v>
      </c>
      <c r="T31" s="163">
        <v>3468</v>
      </c>
      <c r="U31" s="164">
        <v>3450</v>
      </c>
      <c r="V31" s="164">
        <v>3556</v>
      </c>
      <c r="W31" s="160">
        <v>44</v>
      </c>
      <c r="X31" s="160">
        <v>120</v>
      </c>
      <c r="Y31" s="160">
        <v>49</v>
      </c>
      <c r="Z31" s="160">
        <v>0</v>
      </c>
      <c r="AA31" s="160">
        <v>63</v>
      </c>
      <c r="AB31" s="160">
        <v>0</v>
      </c>
      <c r="AC31" s="165">
        <f t="shared" si="0"/>
        <v>106</v>
      </c>
      <c r="AD31" s="166">
        <f t="shared" si="1"/>
        <v>-18</v>
      </c>
      <c r="AE31" s="160">
        <v>157</v>
      </c>
      <c r="AF31" s="167">
        <f t="shared" si="2"/>
        <v>0.9437367303609342</v>
      </c>
      <c r="AG31" s="168">
        <f t="shared" si="3"/>
        <v>155</v>
      </c>
      <c r="AH31" s="167">
        <f t="shared" si="4"/>
        <v>0.92741935483870963</v>
      </c>
      <c r="AI31" s="169">
        <f t="shared" si="5"/>
        <v>0.97649572649572647</v>
      </c>
      <c r="AJ31" s="170">
        <f t="shared" si="6"/>
        <v>0.94970619658119659</v>
      </c>
      <c r="AK31" s="235">
        <v>10.785</v>
      </c>
      <c r="AL31" s="239">
        <v>137.25</v>
      </c>
      <c r="AM31" s="171">
        <f t="shared" si="7"/>
        <v>1480.24125</v>
      </c>
      <c r="AN31" s="235">
        <v>29.553999999999998</v>
      </c>
      <c r="AO31" s="232">
        <v>975</v>
      </c>
      <c r="AP31" s="172">
        <f t="shared" si="8"/>
        <v>28815.149999999998</v>
      </c>
      <c r="AQ31" s="202">
        <f t="shared" si="9"/>
        <v>8781.2728260869553</v>
      </c>
      <c r="AR31" s="199">
        <f t="shared" si="10"/>
        <v>144.5</v>
      </c>
      <c r="AS31" s="13"/>
      <c r="AT31" s="159">
        <v>0</v>
      </c>
      <c r="AU31" s="174">
        <v>0</v>
      </c>
      <c r="AV31" s="174">
        <v>22</v>
      </c>
      <c r="AW31" s="159">
        <v>34</v>
      </c>
      <c r="AX31" s="174">
        <v>31</v>
      </c>
      <c r="AY31" s="159">
        <v>170</v>
      </c>
      <c r="AZ31" s="159">
        <v>0</v>
      </c>
      <c r="BA31" s="4"/>
      <c r="BB31" s="175">
        <v>968</v>
      </c>
      <c r="BC31" s="175">
        <v>1170</v>
      </c>
      <c r="BD31" s="175">
        <v>1418</v>
      </c>
      <c r="BE31" s="175">
        <f t="shared" si="11"/>
        <v>202</v>
      </c>
      <c r="BF31" s="175">
        <f t="shared" si="12"/>
        <v>8781.2728260869553</v>
      </c>
      <c r="BG31" s="177">
        <f t="shared" si="13"/>
        <v>59.083333333333336</v>
      </c>
      <c r="BH31" s="191">
        <v>1.9810000000000001</v>
      </c>
      <c r="BI31" s="155">
        <v>2.2970000000000002</v>
      </c>
      <c r="BJ31" s="181">
        <v>27</v>
      </c>
      <c r="BK31" s="192">
        <v>25.27</v>
      </c>
      <c r="BL31" s="192">
        <v>23.48</v>
      </c>
      <c r="BM31" s="192">
        <v>30.97</v>
      </c>
      <c r="BN31" s="192">
        <v>995.63</v>
      </c>
      <c r="BO31" s="181">
        <v>50.05</v>
      </c>
      <c r="BP31" s="193">
        <v>0.93600000000000005</v>
      </c>
      <c r="BQ31" s="194">
        <v>88.78</v>
      </c>
      <c r="BR31" s="181">
        <v>84.68</v>
      </c>
      <c r="BS31" s="49">
        <f t="shared" si="14"/>
        <v>-4.0999999999999943</v>
      </c>
      <c r="BT31" s="194">
        <v>12157</v>
      </c>
      <c r="BU31" s="175">
        <v>11603</v>
      </c>
      <c r="BV31" s="51">
        <f t="shared" si="15"/>
        <v>-554</v>
      </c>
      <c r="BW31" s="175">
        <f t="shared" si="16"/>
        <v>4.2780000000000005</v>
      </c>
      <c r="BX31" s="177">
        <v>21.52</v>
      </c>
      <c r="BY31" s="177">
        <v>24</v>
      </c>
      <c r="CA31" s="177">
        <v>8.98</v>
      </c>
      <c r="CB31" s="177">
        <v>0</v>
      </c>
      <c r="CD31" s="177">
        <v>2.15</v>
      </c>
      <c r="CE31" s="177">
        <v>3.7</v>
      </c>
      <c r="CF31" s="177">
        <v>1.7</v>
      </c>
      <c r="CG31" s="177">
        <v>1</v>
      </c>
      <c r="CK31">
        <v>3</v>
      </c>
    </row>
    <row r="32" spans="1:89">
      <c r="A32" s="455"/>
      <c r="B32" s="154">
        <v>43127</v>
      </c>
      <c r="C32" s="171">
        <v>48.99</v>
      </c>
      <c r="D32" s="197">
        <v>0.88580000000000003</v>
      </c>
      <c r="E32" s="171">
        <v>46.54</v>
      </c>
      <c r="F32" s="159">
        <v>55</v>
      </c>
      <c r="G32" s="159">
        <v>46</v>
      </c>
      <c r="H32" s="160">
        <v>24</v>
      </c>
      <c r="I32" s="160">
        <v>0</v>
      </c>
      <c r="J32" s="160">
        <v>24</v>
      </c>
      <c r="K32" s="160">
        <v>0</v>
      </c>
      <c r="L32" s="187">
        <v>0</v>
      </c>
      <c r="M32" s="187">
        <v>0</v>
      </c>
      <c r="N32" s="187">
        <v>0</v>
      </c>
      <c r="O32" s="187">
        <v>0</v>
      </c>
      <c r="P32" s="187">
        <v>24</v>
      </c>
      <c r="Q32" s="187">
        <v>0</v>
      </c>
      <c r="R32" s="187">
        <v>3720</v>
      </c>
      <c r="S32" s="163">
        <v>3687</v>
      </c>
      <c r="T32" s="163">
        <v>3687</v>
      </c>
      <c r="U32" s="164">
        <v>3600</v>
      </c>
      <c r="V32" s="164">
        <v>3709</v>
      </c>
      <c r="W32" s="160">
        <v>44</v>
      </c>
      <c r="X32" s="160">
        <v>0</v>
      </c>
      <c r="Y32" s="160">
        <v>49</v>
      </c>
      <c r="Z32" s="160">
        <v>0</v>
      </c>
      <c r="AA32" s="160">
        <v>62</v>
      </c>
      <c r="AB32" s="160">
        <v>0</v>
      </c>
      <c r="AC32" s="165">
        <f t="shared" si="0"/>
        <v>109</v>
      </c>
      <c r="AD32" s="166">
        <f t="shared" si="1"/>
        <v>-87</v>
      </c>
      <c r="AE32" s="160">
        <v>156</v>
      </c>
      <c r="AF32" s="167">
        <f t="shared" si="2"/>
        <v>0.99065170940170943</v>
      </c>
      <c r="AG32" s="168">
        <f t="shared" si="3"/>
        <v>155</v>
      </c>
      <c r="AH32" s="167">
        <f t="shared" si="4"/>
        <v>0.967741935483871</v>
      </c>
      <c r="AI32" s="169">
        <f t="shared" si="5"/>
        <v>1</v>
      </c>
      <c r="AJ32" s="170">
        <f t="shared" si="6"/>
        <v>1</v>
      </c>
      <c r="AK32" s="235">
        <v>10.775</v>
      </c>
      <c r="AL32" s="239">
        <v>137.34</v>
      </c>
      <c r="AM32" s="171">
        <f t="shared" si="7"/>
        <v>1479.8385000000001</v>
      </c>
      <c r="AN32" s="235">
        <v>30.936</v>
      </c>
      <c r="AO32" s="232">
        <v>970</v>
      </c>
      <c r="AP32" s="172">
        <f t="shared" si="8"/>
        <v>30007.919999999998</v>
      </c>
      <c r="AQ32" s="202">
        <f t="shared" si="9"/>
        <v>8746.5995833333345</v>
      </c>
      <c r="AR32" s="199">
        <f t="shared" si="10"/>
        <v>153.625</v>
      </c>
      <c r="AS32" s="13"/>
      <c r="AT32" s="159">
        <v>0</v>
      </c>
      <c r="AU32" s="174">
        <v>0</v>
      </c>
      <c r="AV32" s="159">
        <v>0</v>
      </c>
      <c r="AW32" s="159">
        <v>0</v>
      </c>
      <c r="AX32" s="174">
        <v>0</v>
      </c>
      <c r="AY32" s="159">
        <v>0</v>
      </c>
      <c r="AZ32" s="159">
        <v>0</v>
      </c>
      <c r="BA32" s="4"/>
      <c r="BB32" s="175">
        <v>1057</v>
      </c>
      <c r="BC32" s="175">
        <v>1164</v>
      </c>
      <c r="BD32" s="175">
        <v>1488</v>
      </c>
      <c r="BE32" s="175">
        <f t="shared" si="11"/>
        <v>107</v>
      </c>
      <c r="BF32" s="175">
        <f t="shared" si="12"/>
        <v>8746.5995833333345</v>
      </c>
      <c r="BG32" s="177">
        <f t="shared" si="13"/>
        <v>62</v>
      </c>
      <c r="BH32" s="191">
        <v>2.2000000000000002</v>
      </c>
      <c r="BI32" s="155">
        <v>2.2000000000000002</v>
      </c>
      <c r="BJ32" s="181">
        <v>27</v>
      </c>
      <c r="BK32" s="192">
        <v>27.73</v>
      </c>
      <c r="BL32" s="192">
        <v>23.74</v>
      </c>
      <c r="BM32" s="192">
        <v>30.81</v>
      </c>
      <c r="BN32" s="192">
        <v>995.6</v>
      </c>
      <c r="BO32" s="192">
        <v>50.07</v>
      </c>
      <c r="BP32" s="193">
        <v>0.93589999999999995</v>
      </c>
      <c r="BQ32" s="192">
        <v>86.01</v>
      </c>
      <c r="BR32" s="181">
        <v>84.29</v>
      </c>
      <c r="BS32" s="49">
        <f t="shared" si="14"/>
        <v>-1.7199999999999989</v>
      </c>
      <c r="BT32" s="175">
        <v>12330</v>
      </c>
      <c r="BU32" s="175">
        <v>11751</v>
      </c>
      <c r="BV32" s="51">
        <f t="shared" si="15"/>
        <v>-579</v>
      </c>
      <c r="BW32" s="175">
        <f t="shared" si="16"/>
        <v>4.4000000000000004</v>
      </c>
      <c r="BX32" s="177">
        <v>24</v>
      </c>
      <c r="BY32" s="177">
        <v>24</v>
      </c>
      <c r="CA32" s="177">
        <v>6.73</v>
      </c>
      <c r="CB32" s="177">
        <v>5.58</v>
      </c>
      <c r="CD32" s="177">
        <v>2.2000000000000002</v>
      </c>
      <c r="CE32" s="177">
        <v>3.3</v>
      </c>
      <c r="CF32" s="177">
        <v>1.8</v>
      </c>
      <c r="CG32" s="177">
        <v>1</v>
      </c>
      <c r="CK32">
        <v>3.9</v>
      </c>
    </row>
    <row r="33" spans="1:89">
      <c r="A33" s="456"/>
      <c r="B33" s="154">
        <v>43128</v>
      </c>
      <c r="C33" s="157">
        <v>50.39</v>
      </c>
      <c r="D33" s="197">
        <v>0.86329999999999996</v>
      </c>
      <c r="E33" s="171">
        <v>47.66</v>
      </c>
      <c r="F33" s="159">
        <v>57</v>
      </c>
      <c r="G33" s="159">
        <v>46</v>
      </c>
      <c r="H33" s="160">
        <v>24</v>
      </c>
      <c r="I33" s="160">
        <v>0</v>
      </c>
      <c r="J33" s="160">
        <v>24</v>
      </c>
      <c r="K33" s="160">
        <v>0</v>
      </c>
      <c r="L33" s="187">
        <v>0</v>
      </c>
      <c r="M33" s="187">
        <v>0</v>
      </c>
      <c r="N33" s="187">
        <v>0</v>
      </c>
      <c r="O33" s="187">
        <v>0</v>
      </c>
      <c r="P33" s="187">
        <v>24</v>
      </c>
      <c r="Q33" s="187">
        <v>0</v>
      </c>
      <c r="R33" s="187">
        <v>3720</v>
      </c>
      <c r="S33" s="163">
        <v>3705</v>
      </c>
      <c r="T33" s="163">
        <v>3705</v>
      </c>
      <c r="U33" s="164">
        <v>3618</v>
      </c>
      <c r="V33" s="164">
        <v>3726</v>
      </c>
      <c r="W33" s="160">
        <v>44</v>
      </c>
      <c r="X33" s="160">
        <v>0</v>
      </c>
      <c r="Y33" s="160">
        <v>48</v>
      </c>
      <c r="Z33" s="159">
        <v>0</v>
      </c>
      <c r="AA33" s="160">
        <v>63</v>
      </c>
      <c r="AB33" s="159">
        <v>0</v>
      </c>
      <c r="AC33" s="165">
        <f t="shared" si="0"/>
        <v>108</v>
      </c>
      <c r="AD33" s="166">
        <f t="shared" si="1"/>
        <v>-87</v>
      </c>
      <c r="AE33" s="159">
        <v>156</v>
      </c>
      <c r="AF33" s="167">
        <f t="shared" si="2"/>
        <v>0.99519230769230771</v>
      </c>
      <c r="AG33" s="168">
        <f t="shared" si="3"/>
        <v>155</v>
      </c>
      <c r="AH33" s="167">
        <f t="shared" si="4"/>
        <v>0.97258064516129028</v>
      </c>
      <c r="AI33" s="169">
        <f t="shared" si="5"/>
        <v>1</v>
      </c>
      <c r="AJ33" s="170">
        <f t="shared" si="6"/>
        <v>1</v>
      </c>
      <c r="AK33" s="235">
        <v>10.76</v>
      </c>
      <c r="AL33" s="239">
        <v>135.53</v>
      </c>
      <c r="AM33" s="171">
        <f t="shared" si="7"/>
        <v>1458.3027999999999</v>
      </c>
      <c r="AN33" s="235">
        <v>30.893999999999998</v>
      </c>
      <c r="AO33" s="232">
        <v>976</v>
      </c>
      <c r="AP33" s="172">
        <f t="shared" si="8"/>
        <v>30152.543999999998</v>
      </c>
      <c r="AQ33" s="202">
        <f t="shared" si="9"/>
        <v>8737.1052515201773</v>
      </c>
      <c r="AR33" s="199">
        <f t="shared" si="10"/>
        <v>154.375</v>
      </c>
      <c r="AS33" s="13"/>
      <c r="AT33" s="159">
        <v>0</v>
      </c>
      <c r="AU33" s="174">
        <v>0</v>
      </c>
      <c r="AV33" s="174">
        <v>0</v>
      </c>
      <c r="AW33" s="159">
        <v>0</v>
      </c>
      <c r="AX33" s="174">
        <v>0</v>
      </c>
      <c r="AY33" s="159">
        <v>0</v>
      </c>
      <c r="AZ33" s="159">
        <v>0</v>
      </c>
      <c r="BA33" s="4"/>
      <c r="BB33" s="175">
        <v>1058</v>
      </c>
      <c r="BC33" s="175">
        <v>1154</v>
      </c>
      <c r="BD33" s="175">
        <v>1514</v>
      </c>
      <c r="BE33" s="175">
        <f t="shared" si="11"/>
        <v>96</v>
      </c>
      <c r="BF33" s="175">
        <f t="shared" si="12"/>
        <v>8737.1052515201773</v>
      </c>
      <c r="BG33" s="177">
        <f t="shared" si="13"/>
        <v>63.083333333333336</v>
      </c>
      <c r="BH33" s="191">
        <v>2.339</v>
      </c>
      <c r="BI33" s="155">
        <v>2.339</v>
      </c>
      <c r="BJ33" s="181">
        <v>27</v>
      </c>
      <c r="BK33" s="192">
        <v>27.49</v>
      </c>
      <c r="BL33" s="192">
        <v>2335</v>
      </c>
      <c r="BM33" s="192">
        <v>30.95</v>
      </c>
      <c r="BN33" s="179">
        <v>996.6</v>
      </c>
      <c r="BO33" s="192">
        <v>50.1</v>
      </c>
      <c r="BP33" s="193">
        <v>0.9365</v>
      </c>
      <c r="BQ33" s="192">
        <v>86.81</v>
      </c>
      <c r="BR33" s="181">
        <v>84.14</v>
      </c>
      <c r="BS33" s="49">
        <f t="shared" si="14"/>
        <v>-2.6700000000000017</v>
      </c>
      <c r="BT33" s="175">
        <v>12223</v>
      </c>
      <c r="BU33" s="175">
        <v>11696</v>
      </c>
      <c r="BV33" s="51">
        <f t="shared" si="15"/>
        <v>-527</v>
      </c>
      <c r="BW33" s="175">
        <f t="shared" si="16"/>
        <v>4.6779999999999999</v>
      </c>
      <c r="BX33" s="177">
        <v>24</v>
      </c>
      <c r="BY33" s="177">
        <v>24</v>
      </c>
      <c r="CA33" s="177">
        <v>8.2799999999999994</v>
      </c>
      <c r="CB33" s="177">
        <v>5.22</v>
      </c>
      <c r="CD33" s="177">
        <v>2.2000000000000002</v>
      </c>
      <c r="CE33" s="177">
        <v>3.3</v>
      </c>
      <c r="CF33" s="177">
        <v>1.8</v>
      </c>
      <c r="CG33" s="177">
        <v>1</v>
      </c>
      <c r="CK33">
        <v>4.0999999999999996</v>
      </c>
    </row>
    <row r="34" spans="1:89" ht="12.75" customHeight="1">
      <c r="A34" s="451" t="s">
        <v>82</v>
      </c>
      <c r="B34" s="24">
        <v>43129</v>
      </c>
      <c r="C34" s="25">
        <v>55.73</v>
      </c>
      <c r="D34" s="26">
        <v>0.75729999999999997</v>
      </c>
      <c r="E34" s="38">
        <v>49.59</v>
      </c>
      <c r="F34" s="27">
        <v>67</v>
      </c>
      <c r="G34" s="27">
        <v>45</v>
      </c>
      <c r="H34" s="28">
        <v>24</v>
      </c>
      <c r="I34" s="28">
        <v>0</v>
      </c>
      <c r="J34" s="28">
        <v>24</v>
      </c>
      <c r="K34" s="28">
        <v>0</v>
      </c>
      <c r="L34" s="29">
        <v>0</v>
      </c>
      <c r="M34" s="29">
        <v>0</v>
      </c>
      <c r="N34" s="29">
        <v>0</v>
      </c>
      <c r="O34" s="29">
        <v>0</v>
      </c>
      <c r="P34" s="29">
        <v>24</v>
      </c>
      <c r="Q34" s="29">
        <v>0</v>
      </c>
      <c r="R34" s="29">
        <v>3720</v>
      </c>
      <c r="S34" s="30">
        <v>3683</v>
      </c>
      <c r="T34" s="30">
        <v>3683</v>
      </c>
      <c r="U34" s="31">
        <v>3590</v>
      </c>
      <c r="V34" s="31">
        <v>3701</v>
      </c>
      <c r="W34" s="28">
        <v>45</v>
      </c>
      <c r="X34" s="28">
        <v>0</v>
      </c>
      <c r="Y34" s="28">
        <v>47</v>
      </c>
      <c r="Z34" s="28">
        <v>0</v>
      </c>
      <c r="AA34" s="28">
        <v>62</v>
      </c>
      <c r="AB34" s="27">
        <v>0</v>
      </c>
      <c r="AC34" s="32">
        <f t="shared" si="0"/>
        <v>111</v>
      </c>
      <c r="AD34" s="33">
        <f t="shared" si="1"/>
        <v>-93</v>
      </c>
      <c r="AE34" s="27">
        <v>157</v>
      </c>
      <c r="AF34" s="34">
        <f t="shared" si="2"/>
        <v>0.98221868365180465</v>
      </c>
      <c r="AG34" s="35">
        <f t="shared" si="3"/>
        <v>155</v>
      </c>
      <c r="AH34" s="34">
        <f t="shared" si="4"/>
        <v>0.96505376344086025</v>
      </c>
      <c r="AI34" s="36">
        <f t="shared" si="5"/>
        <v>1</v>
      </c>
      <c r="AJ34" s="37">
        <f t="shared" si="6"/>
        <v>1</v>
      </c>
      <c r="AK34" s="235">
        <v>10.73</v>
      </c>
      <c r="AL34" s="239">
        <v>138.9</v>
      </c>
      <c r="AM34" s="38">
        <f t="shared" si="7"/>
        <v>1490.3970000000002</v>
      </c>
      <c r="AN34" s="235">
        <v>30.675000000000001</v>
      </c>
      <c r="AO34" s="232">
        <v>977</v>
      </c>
      <c r="AP34" s="39">
        <f t="shared" si="8"/>
        <v>29969.475000000002</v>
      </c>
      <c r="AQ34" s="201">
        <f t="shared" si="9"/>
        <v>8763.1955431754886</v>
      </c>
      <c r="AR34" s="198">
        <f t="shared" si="10"/>
        <v>153.45833333333334</v>
      </c>
      <c r="AS34" s="13"/>
      <c r="AT34" s="27">
        <v>0</v>
      </c>
      <c r="AU34" s="40">
        <v>0</v>
      </c>
      <c r="AV34" s="40">
        <v>0</v>
      </c>
      <c r="AW34" s="27">
        <v>0</v>
      </c>
      <c r="AX34" s="40">
        <v>0</v>
      </c>
      <c r="AY34" s="27">
        <v>0</v>
      </c>
      <c r="AZ34" s="27">
        <v>0</v>
      </c>
      <c r="BA34" s="4"/>
      <c r="BB34" s="41">
        <v>1070</v>
      </c>
      <c r="BC34" s="41">
        <v>1133</v>
      </c>
      <c r="BD34" s="41">
        <v>1498</v>
      </c>
      <c r="BE34" s="41">
        <f t="shared" si="11"/>
        <v>63</v>
      </c>
      <c r="BF34" s="41">
        <f t="shared" si="12"/>
        <v>8763.1955431754886</v>
      </c>
      <c r="BG34" s="77">
        <f t="shared" si="13"/>
        <v>62.416666666666664</v>
      </c>
      <c r="BH34" s="43">
        <v>2.2949999999999999</v>
      </c>
      <c r="BI34" s="44">
        <v>2.2949999999999999</v>
      </c>
      <c r="BJ34" s="45">
        <v>27</v>
      </c>
      <c r="BK34" s="46">
        <v>27.58</v>
      </c>
      <c r="BL34" s="45">
        <v>22.81</v>
      </c>
      <c r="BM34" s="45">
        <v>30.9</v>
      </c>
      <c r="BN34" s="47">
        <v>997.6</v>
      </c>
      <c r="BO34" s="45">
        <v>50.11</v>
      </c>
      <c r="BP34" s="48">
        <v>0.93530000000000002</v>
      </c>
      <c r="BQ34" s="46">
        <v>89.16</v>
      </c>
      <c r="BR34" s="45">
        <v>83.95</v>
      </c>
      <c r="BS34" s="49">
        <f t="shared" si="14"/>
        <v>-5.2099999999999937</v>
      </c>
      <c r="BT34" s="41">
        <v>12130</v>
      </c>
      <c r="BU34" s="41">
        <v>11720</v>
      </c>
      <c r="BV34" s="51">
        <f t="shared" si="15"/>
        <v>-410</v>
      </c>
      <c r="BW34" s="41">
        <f t="shared" si="16"/>
        <v>4.59</v>
      </c>
      <c r="BX34" s="42">
        <v>24</v>
      </c>
      <c r="BY34" s="42">
        <v>24</v>
      </c>
      <c r="CA34" s="42">
        <v>13.98</v>
      </c>
      <c r="CB34" s="42">
        <v>7.28</v>
      </c>
      <c r="CD34" s="42">
        <v>2.2000000000000002</v>
      </c>
      <c r="CE34" s="42">
        <v>3.3</v>
      </c>
      <c r="CF34" s="42">
        <v>1.8</v>
      </c>
      <c r="CG34" s="42">
        <v>1.9</v>
      </c>
      <c r="CK34">
        <v>4.2</v>
      </c>
    </row>
    <row r="35" spans="1:89">
      <c r="A35" s="452"/>
      <c r="B35" s="24">
        <v>43130</v>
      </c>
      <c r="C35" s="25">
        <v>61.6</v>
      </c>
      <c r="D35" s="26">
        <v>0.61299999999999999</v>
      </c>
      <c r="E35" s="38">
        <v>51.6</v>
      </c>
      <c r="F35" s="27">
        <v>73</v>
      </c>
      <c r="G35" s="27">
        <v>52</v>
      </c>
      <c r="H35" s="28">
        <v>24</v>
      </c>
      <c r="I35" s="28">
        <v>0</v>
      </c>
      <c r="J35" s="28">
        <v>24</v>
      </c>
      <c r="K35" s="28">
        <v>0</v>
      </c>
      <c r="L35" s="29">
        <v>0</v>
      </c>
      <c r="M35" s="29">
        <v>0</v>
      </c>
      <c r="N35" s="29">
        <v>0</v>
      </c>
      <c r="O35" s="29">
        <v>0</v>
      </c>
      <c r="P35" s="29">
        <v>13</v>
      </c>
      <c r="Q35" s="29">
        <v>0</v>
      </c>
      <c r="R35" s="29">
        <v>3711</v>
      </c>
      <c r="S35" s="30">
        <v>3496</v>
      </c>
      <c r="T35" s="30">
        <v>3496</v>
      </c>
      <c r="U35" s="31">
        <v>3411</v>
      </c>
      <c r="V35" s="31">
        <v>3514</v>
      </c>
      <c r="W35" s="28">
        <v>45</v>
      </c>
      <c r="X35" s="28">
        <v>0</v>
      </c>
      <c r="Y35" s="28">
        <v>46</v>
      </c>
      <c r="Z35" s="28">
        <v>0</v>
      </c>
      <c r="AA35" s="28">
        <v>62</v>
      </c>
      <c r="AB35" s="27">
        <v>0</v>
      </c>
      <c r="AC35" s="32">
        <f t="shared" si="0"/>
        <v>103</v>
      </c>
      <c r="AD35" s="33">
        <f t="shared" si="1"/>
        <v>-85</v>
      </c>
      <c r="AE35" s="27">
        <v>155</v>
      </c>
      <c r="AF35" s="34">
        <f t="shared" si="2"/>
        <v>0.94462365591397845</v>
      </c>
      <c r="AG35" s="35">
        <f t="shared" si="3"/>
        <v>154.625</v>
      </c>
      <c r="AH35" s="34">
        <f t="shared" si="4"/>
        <v>0.9191592562651576</v>
      </c>
      <c r="AI35" s="36">
        <f t="shared" si="5"/>
        <v>1</v>
      </c>
      <c r="AJ35" s="37">
        <f t="shared" si="6"/>
        <v>0.95506535947712412</v>
      </c>
      <c r="AK35" s="235">
        <v>10.68</v>
      </c>
      <c r="AL35" s="241">
        <v>133.91999999999999</v>
      </c>
      <c r="AM35" s="38">
        <f t="shared" si="7"/>
        <v>1430.2655999999997</v>
      </c>
      <c r="AN35" s="235">
        <v>28.789000000000001</v>
      </c>
      <c r="AO35" s="232">
        <v>982.00049999999999</v>
      </c>
      <c r="AP35" s="39">
        <f t="shared" si="8"/>
        <v>28270.812394500001</v>
      </c>
      <c r="AQ35" s="201">
        <f t="shared" si="9"/>
        <v>8707.4400452946338</v>
      </c>
      <c r="AR35" s="198">
        <f t="shared" si="10"/>
        <v>145.66666666666666</v>
      </c>
      <c r="AS35" s="13"/>
      <c r="AT35" s="27">
        <v>0</v>
      </c>
      <c r="AU35" s="40">
        <v>0</v>
      </c>
      <c r="AV35" s="40">
        <v>0</v>
      </c>
      <c r="AW35" s="27">
        <v>0</v>
      </c>
      <c r="AX35" s="40">
        <v>15</v>
      </c>
      <c r="AY35" s="27">
        <v>660</v>
      </c>
      <c r="AZ35" s="27">
        <v>0</v>
      </c>
      <c r="BA35" s="4"/>
      <c r="BB35" s="41">
        <v>1085</v>
      </c>
      <c r="BC35" s="41">
        <v>1110</v>
      </c>
      <c r="BD35" s="41">
        <v>1319</v>
      </c>
      <c r="BE35" s="41">
        <f t="shared" si="11"/>
        <v>25</v>
      </c>
      <c r="BF35" s="41">
        <f t="shared" si="12"/>
        <v>8707.4400452946338</v>
      </c>
      <c r="BG35" s="77">
        <f t="shared" si="13"/>
        <v>54.958333333333336</v>
      </c>
      <c r="BH35" s="43">
        <v>1.389</v>
      </c>
      <c r="BI35" s="44">
        <v>1.3560000000000001</v>
      </c>
      <c r="BJ35" s="45">
        <v>27</v>
      </c>
      <c r="BK35" s="45">
        <v>27.89</v>
      </c>
      <c r="BL35" s="46">
        <v>22.43</v>
      </c>
      <c r="BM35" s="45">
        <v>30.55</v>
      </c>
      <c r="BN35" s="47">
        <v>998.6</v>
      </c>
      <c r="BO35" s="45">
        <v>50.09</v>
      </c>
      <c r="BP35" s="48">
        <v>0.93769999999999998</v>
      </c>
      <c r="BQ35" s="52">
        <v>92.22</v>
      </c>
      <c r="BR35" s="45">
        <v>83.85</v>
      </c>
      <c r="BS35" s="49">
        <f t="shared" si="14"/>
        <v>-8.3700000000000045</v>
      </c>
      <c r="BT35" s="41">
        <v>12089</v>
      </c>
      <c r="BU35" s="41">
        <v>11784</v>
      </c>
      <c r="BV35" s="51">
        <f t="shared" si="15"/>
        <v>-305</v>
      </c>
      <c r="BW35" s="41">
        <f t="shared" si="16"/>
        <v>2.7450000000000001</v>
      </c>
      <c r="BX35" s="42">
        <v>24</v>
      </c>
      <c r="BY35" s="42">
        <v>24</v>
      </c>
      <c r="CA35" s="42">
        <v>20.7</v>
      </c>
      <c r="CB35" s="42">
        <v>7.3</v>
      </c>
      <c r="CD35" s="42">
        <v>2.2000000000000002</v>
      </c>
      <c r="CE35" s="42">
        <v>4</v>
      </c>
      <c r="CF35" s="42">
        <v>1.8</v>
      </c>
      <c r="CG35" s="42">
        <v>2.2999999999999998</v>
      </c>
      <c r="CK35">
        <v>4.2</v>
      </c>
    </row>
    <row r="36" spans="1:89">
      <c r="A36" s="452"/>
      <c r="B36" s="24">
        <v>43131</v>
      </c>
      <c r="C36" s="25">
        <v>63</v>
      </c>
      <c r="D36" s="26">
        <v>0.57999999999999996</v>
      </c>
      <c r="E36" s="38">
        <v>51</v>
      </c>
      <c r="F36" s="27">
        <v>75</v>
      </c>
      <c r="G36" s="27">
        <v>52</v>
      </c>
      <c r="H36" s="28">
        <v>24</v>
      </c>
      <c r="I36" s="28">
        <v>0</v>
      </c>
      <c r="J36" s="28">
        <v>24</v>
      </c>
      <c r="K36" s="28">
        <v>0</v>
      </c>
      <c r="L36" s="29">
        <v>0</v>
      </c>
      <c r="M36" s="29">
        <v>0</v>
      </c>
      <c r="N36" s="29">
        <v>0</v>
      </c>
      <c r="O36" s="29">
        <v>0</v>
      </c>
      <c r="P36" s="29">
        <v>0</v>
      </c>
      <c r="Q36" s="29">
        <v>0</v>
      </c>
      <c r="R36" s="29">
        <v>3704</v>
      </c>
      <c r="S36" s="30">
        <v>3236</v>
      </c>
      <c r="T36" s="30">
        <v>3236</v>
      </c>
      <c r="U36" s="31">
        <v>3164</v>
      </c>
      <c r="V36" s="31">
        <v>3259</v>
      </c>
      <c r="W36" s="28">
        <v>44</v>
      </c>
      <c r="X36" s="28">
        <v>0</v>
      </c>
      <c r="Y36" s="28">
        <v>47</v>
      </c>
      <c r="Z36" s="28">
        <v>0</v>
      </c>
      <c r="AA36" s="28">
        <v>62</v>
      </c>
      <c r="AB36" s="27">
        <v>0</v>
      </c>
      <c r="AC36" s="32">
        <f t="shared" si="0"/>
        <v>95</v>
      </c>
      <c r="AD36" s="33">
        <f t="shared" si="1"/>
        <v>-72</v>
      </c>
      <c r="AE36" s="27">
        <v>153</v>
      </c>
      <c r="AF36" s="34">
        <f t="shared" si="2"/>
        <v>0.88752723311546844</v>
      </c>
      <c r="AG36" s="35">
        <f t="shared" si="3"/>
        <v>154.33333333333334</v>
      </c>
      <c r="AH36" s="34">
        <f t="shared" si="4"/>
        <v>0.85421166306695462</v>
      </c>
      <c r="AI36" s="36">
        <f t="shared" si="5"/>
        <v>1</v>
      </c>
      <c r="AJ36" s="37">
        <f t="shared" si="6"/>
        <v>0.88888888888888884</v>
      </c>
      <c r="AK36" s="235">
        <v>10.7</v>
      </c>
      <c r="AL36" s="241">
        <v>134.24</v>
      </c>
      <c r="AM36" s="38">
        <f t="shared" si="7"/>
        <v>1436.3679999999999</v>
      </c>
      <c r="AN36" s="235">
        <v>26.059000000000001</v>
      </c>
      <c r="AO36" s="232">
        <v>980</v>
      </c>
      <c r="AP36" s="39">
        <f t="shared" si="8"/>
        <v>25537.82</v>
      </c>
      <c r="AQ36" s="201">
        <f t="shared" si="9"/>
        <v>8525.3438685208585</v>
      </c>
      <c r="AR36" s="198">
        <f t="shared" si="10"/>
        <v>134.83333333333334</v>
      </c>
      <c r="AS36" s="13"/>
      <c r="AT36" s="27">
        <v>0</v>
      </c>
      <c r="AU36" s="40">
        <v>0</v>
      </c>
      <c r="AV36" s="40">
        <v>0</v>
      </c>
      <c r="AW36" s="27">
        <v>0</v>
      </c>
      <c r="AX36" s="40">
        <v>17</v>
      </c>
      <c r="AY36" s="27">
        <v>1440</v>
      </c>
      <c r="AZ36" s="27">
        <v>0</v>
      </c>
      <c r="BA36" s="4"/>
      <c r="BB36" s="41">
        <v>1059</v>
      </c>
      <c r="BC36" s="41">
        <v>1116</v>
      </c>
      <c r="BD36" s="41">
        <v>1084</v>
      </c>
      <c r="BE36" s="41">
        <f t="shared" si="11"/>
        <v>57</v>
      </c>
      <c r="BF36" s="41">
        <f t="shared" si="12"/>
        <v>8525.3438685208585</v>
      </c>
      <c r="BG36" s="77">
        <f t="shared" si="13"/>
        <v>45.166666666666664</v>
      </c>
      <c r="BH36" s="43">
        <v>9.5000000000000001E-2</v>
      </c>
      <c r="BI36" s="44">
        <v>9.5000000000000001E-2</v>
      </c>
      <c r="BJ36" s="45">
        <v>27.5</v>
      </c>
      <c r="BK36" s="46">
        <v>27.38</v>
      </c>
      <c r="BL36" s="45">
        <v>22.45</v>
      </c>
      <c r="BM36" s="45">
        <v>30.37</v>
      </c>
      <c r="BN36" s="47">
        <v>996.4</v>
      </c>
      <c r="BO36" s="45">
        <v>50.07</v>
      </c>
      <c r="BP36" s="48">
        <v>0.9375</v>
      </c>
      <c r="BQ36" s="46">
        <v>90.33</v>
      </c>
      <c r="BR36" s="45">
        <v>84.05</v>
      </c>
      <c r="BS36" s="49">
        <f t="shared" si="14"/>
        <v>-6.2800000000000011</v>
      </c>
      <c r="BT36" s="41">
        <v>12144</v>
      </c>
      <c r="BU36" s="41">
        <v>11723</v>
      </c>
      <c r="BV36" s="51">
        <f t="shared" si="15"/>
        <v>-421</v>
      </c>
      <c r="BW36" s="41">
        <f t="shared" si="16"/>
        <v>0.19</v>
      </c>
      <c r="BX36" s="42">
        <v>1</v>
      </c>
      <c r="BY36" s="42">
        <v>1</v>
      </c>
      <c r="CA36" s="42">
        <v>15.6</v>
      </c>
      <c r="CB36" s="42">
        <v>2.5</v>
      </c>
      <c r="CD36" s="42">
        <v>2.1</v>
      </c>
      <c r="CE36" s="42">
        <v>3.5</v>
      </c>
      <c r="CF36" s="42">
        <v>1.8</v>
      </c>
      <c r="CG36" s="42">
        <v>2.2000000000000002</v>
      </c>
      <c r="CK36">
        <v>2.9</v>
      </c>
    </row>
    <row r="37" spans="1:89">
      <c r="A37" s="452"/>
      <c r="B37" s="24">
        <v>43132</v>
      </c>
      <c r="C37" s="25"/>
      <c r="D37" s="26"/>
      <c r="E37" s="38"/>
      <c r="F37" s="27"/>
      <c r="G37" s="27"/>
      <c r="H37" s="28"/>
      <c r="I37" s="28"/>
      <c r="J37" s="28"/>
      <c r="K37" s="28"/>
      <c r="L37" s="29"/>
      <c r="M37" s="29"/>
      <c r="N37" s="29"/>
      <c r="O37" s="29"/>
      <c r="P37" s="29"/>
      <c r="Q37" s="29"/>
      <c r="R37" s="29"/>
      <c r="S37" s="30"/>
      <c r="T37" s="30"/>
      <c r="U37" s="31"/>
      <c r="V37" s="31"/>
      <c r="W37" s="28"/>
      <c r="X37" s="28"/>
      <c r="Y37" s="28"/>
      <c r="Z37" s="28"/>
      <c r="AA37" s="28"/>
      <c r="AB37" s="27"/>
      <c r="AC37" s="32">
        <f t="shared" si="0"/>
        <v>0</v>
      </c>
      <c r="AD37" s="33">
        <f t="shared" si="1"/>
        <v>0</v>
      </c>
      <c r="AE37" s="27"/>
      <c r="AF37" s="34" t="str">
        <f t="shared" si="2"/>
        <v>no data</v>
      </c>
      <c r="AG37" s="35" t="str">
        <f t="shared" si="3"/>
        <v>no data</v>
      </c>
      <c r="AH37" s="34" t="str">
        <f t="shared" si="4"/>
        <v>no data</v>
      </c>
      <c r="AI37" s="36" t="e">
        <f t="shared" si="5"/>
        <v>#DIV/0!</v>
      </c>
      <c r="AJ37" s="37" t="str">
        <f t="shared" si="6"/>
        <v>no data</v>
      </c>
      <c r="AK37" s="44"/>
      <c r="AL37" s="38"/>
      <c r="AM37" s="38">
        <f t="shared" si="7"/>
        <v>0</v>
      </c>
      <c r="AN37" s="44"/>
      <c r="AO37" s="27"/>
      <c r="AP37" s="39">
        <f t="shared" si="8"/>
        <v>0</v>
      </c>
      <c r="AQ37" s="201" t="str">
        <f t="shared" si="9"/>
        <v>no data</v>
      </c>
      <c r="AR37" s="198">
        <f t="shared" si="10"/>
        <v>0</v>
      </c>
      <c r="AS37" s="13"/>
      <c r="AT37" s="27"/>
      <c r="AU37" s="40"/>
      <c r="AV37" s="40"/>
      <c r="AW37" s="27"/>
      <c r="AX37" s="40"/>
      <c r="AY37" s="27"/>
      <c r="AZ37" s="27"/>
      <c r="BA37" s="4"/>
      <c r="BB37" s="41"/>
      <c r="BC37" s="41"/>
      <c r="BD37" s="41"/>
      <c r="BE37" s="41">
        <f t="shared" si="11"/>
        <v>0</v>
      </c>
      <c r="BF37" s="41" t="str">
        <f t="shared" si="12"/>
        <v>no data</v>
      </c>
      <c r="BG37" s="77">
        <f t="shared" si="13"/>
        <v>0</v>
      </c>
      <c r="BH37" s="43"/>
      <c r="BI37" s="44"/>
      <c r="BJ37" s="45"/>
      <c r="BK37" s="46"/>
      <c r="BL37" s="45"/>
      <c r="BM37" s="45"/>
      <c r="BN37" s="47"/>
      <c r="BO37" s="45"/>
      <c r="BP37" s="53"/>
      <c r="BQ37" s="45"/>
      <c r="BR37" s="45"/>
      <c r="BS37" s="49">
        <f t="shared" si="14"/>
        <v>0</v>
      </c>
      <c r="BT37" s="41"/>
      <c r="BU37" s="41"/>
      <c r="BV37" s="51">
        <f t="shared" si="15"/>
        <v>0</v>
      </c>
      <c r="BW37" s="41">
        <f t="shared" si="16"/>
        <v>0</v>
      </c>
      <c r="BX37" s="42"/>
      <c r="BY37" s="42"/>
      <c r="CA37" s="42"/>
      <c r="CB37" s="42"/>
      <c r="CD37" s="42">
        <v>2.1</v>
      </c>
      <c r="CE37" s="42">
        <v>3.8</v>
      </c>
      <c r="CF37" s="42">
        <v>1.8</v>
      </c>
      <c r="CG37" s="42">
        <v>1</v>
      </c>
      <c r="CK37">
        <f>AVERAGE(CK29:CK36)</f>
        <v>3.8</v>
      </c>
    </row>
    <row r="38" spans="1:89">
      <c r="A38" s="452"/>
      <c r="B38" s="24">
        <v>43133</v>
      </c>
      <c r="C38" s="25"/>
      <c r="D38" s="26"/>
      <c r="E38" s="38"/>
      <c r="F38" s="27"/>
      <c r="G38" s="27"/>
      <c r="H38" s="28"/>
      <c r="I38" s="28"/>
      <c r="J38" s="28"/>
      <c r="K38" s="28"/>
      <c r="L38" s="29"/>
      <c r="M38" s="29"/>
      <c r="N38" s="29"/>
      <c r="O38" s="29"/>
      <c r="P38" s="29"/>
      <c r="Q38" s="29"/>
      <c r="R38" s="29"/>
      <c r="S38" s="30"/>
      <c r="T38" s="30"/>
      <c r="U38" s="31"/>
      <c r="V38" s="31"/>
      <c r="W38" s="28"/>
      <c r="X38" s="28"/>
      <c r="Y38" s="28"/>
      <c r="Z38" s="28"/>
      <c r="AA38" s="28"/>
      <c r="AB38" s="27"/>
      <c r="AC38" s="32">
        <f t="shared" si="0"/>
        <v>0</v>
      </c>
      <c r="AD38" s="33">
        <f t="shared" si="1"/>
        <v>0</v>
      </c>
      <c r="AE38" s="27"/>
      <c r="AF38" s="34" t="str">
        <f t="shared" si="2"/>
        <v>no data</v>
      </c>
      <c r="AG38" s="35" t="str">
        <f t="shared" si="3"/>
        <v>no data</v>
      </c>
      <c r="AH38" s="34" t="str">
        <f t="shared" si="4"/>
        <v>no data</v>
      </c>
      <c r="AI38" s="36" t="e">
        <f t="shared" si="5"/>
        <v>#DIV/0!</v>
      </c>
      <c r="AJ38" s="37" t="str">
        <f t="shared" si="6"/>
        <v>no data</v>
      </c>
      <c r="AK38" s="44"/>
      <c r="AL38" s="38"/>
      <c r="AM38" s="38">
        <f t="shared" si="7"/>
        <v>0</v>
      </c>
      <c r="AN38" s="44"/>
      <c r="AO38" s="27"/>
      <c r="AP38" s="39">
        <f t="shared" si="8"/>
        <v>0</v>
      </c>
      <c r="AQ38" s="201" t="str">
        <f t="shared" si="9"/>
        <v>no data</v>
      </c>
      <c r="AR38" s="198"/>
      <c r="AS38" s="13"/>
      <c r="AT38" s="27"/>
      <c r="AU38" s="40"/>
      <c r="AV38" s="40"/>
      <c r="AW38" s="27"/>
      <c r="AX38" s="40"/>
      <c r="AY38" s="27"/>
      <c r="AZ38" s="27"/>
      <c r="BA38" s="4"/>
      <c r="BB38" s="41"/>
      <c r="BC38" s="41"/>
      <c r="BD38" s="41"/>
      <c r="BE38" s="41">
        <f t="shared" si="11"/>
        <v>0</v>
      </c>
      <c r="BF38" s="41" t="str">
        <f t="shared" si="12"/>
        <v>no data</v>
      </c>
      <c r="BG38" s="77">
        <f t="shared" si="13"/>
        <v>0</v>
      </c>
      <c r="BH38" s="43"/>
      <c r="BI38" s="44"/>
      <c r="BJ38" s="45"/>
      <c r="BK38" s="46"/>
      <c r="BL38" s="47"/>
      <c r="BM38" s="47"/>
      <c r="BN38" s="47"/>
      <c r="BO38" s="45"/>
      <c r="BP38" s="48"/>
      <c r="BQ38" s="42"/>
      <c r="BR38" s="42"/>
      <c r="BS38" s="49">
        <f t="shared" si="14"/>
        <v>0</v>
      </c>
      <c r="BT38" s="41"/>
      <c r="BU38" s="41"/>
      <c r="BV38" s="51">
        <f t="shared" si="15"/>
        <v>0</v>
      </c>
      <c r="BW38" s="41">
        <f t="shared" si="16"/>
        <v>0</v>
      </c>
      <c r="BX38" s="42"/>
      <c r="BY38" s="42"/>
      <c r="CA38" s="42"/>
      <c r="CB38" s="42"/>
      <c r="CD38" s="42"/>
      <c r="CE38" s="42"/>
      <c r="CF38" s="42"/>
      <c r="CG38" s="42"/>
    </row>
    <row r="39" spans="1:89">
      <c r="A39" s="452"/>
      <c r="B39" s="24">
        <v>43134</v>
      </c>
      <c r="C39" s="25"/>
      <c r="D39" s="26"/>
      <c r="E39" s="38"/>
      <c r="F39" s="27"/>
      <c r="G39" s="27"/>
      <c r="H39" s="28"/>
      <c r="I39" s="28"/>
      <c r="J39" s="28"/>
      <c r="K39" s="28"/>
      <c r="L39" s="29"/>
      <c r="M39" s="29"/>
      <c r="N39" s="29"/>
      <c r="O39" s="29"/>
      <c r="P39" s="29"/>
      <c r="Q39" s="29"/>
      <c r="R39" s="29"/>
      <c r="S39" s="30"/>
      <c r="T39" s="30"/>
      <c r="U39" s="31"/>
      <c r="V39" s="31"/>
      <c r="W39" s="28"/>
      <c r="X39" s="28"/>
      <c r="Y39" s="28"/>
      <c r="Z39" s="28"/>
      <c r="AA39" s="28"/>
      <c r="AB39" s="27"/>
      <c r="AC39" s="32">
        <f t="shared" si="0"/>
        <v>0</v>
      </c>
      <c r="AD39" s="33">
        <f t="shared" si="1"/>
        <v>0</v>
      </c>
      <c r="AE39" s="27"/>
      <c r="AF39" s="34" t="str">
        <f t="shared" si="2"/>
        <v>no data</v>
      </c>
      <c r="AG39" s="35" t="str">
        <f t="shared" si="3"/>
        <v>no data</v>
      </c>
      <c r="AH39" s="34" t="str">
        <f t="shared" si="4"/>
        <v>no data</v>
      </c>
      <c r="AI39" s="36" t="e">
        <f t="shared" si="5"/>
        <v>#DIV/0!</v>
      </c>
      <c r="AJ39" s="37" t="str">
        <f t="shared" si="6"/>
        <v>no data</v>
      </c>
      <c r="AK39" s="44"/>
      <c r="AL39" s="38"/>
      <c r="AM39" s="38">
        <f t="shared" si="7"/>
        <v>0</v>
      </c>
      <c r="AN39" s="44"/>
      <c r="AO39" s="27"/>
      <c r="AP39" s="39">
        <f t="shared" si="8"/>
        <v>0</v>
      </c>
      <c r="AQ39" s="201" t="str">
        <f t="shared" si="9"/>
        <v>no data</v>
      </c>
      <c r="AR39" s="198"/>
      <c r="AS39" s="13"/>
      <c r="AT39" s="27"/>
      <c r="AU39" s="40"/>
      <c r="AV39" s="40"/>
      <c r="AW39" s="27"/>
      <c r="AX39" s="40"/>
      <c r="AY39" s="27"/>
      <c r="AZ39" s="27"/>
      <c r="BA39" s="4"/>
      <c r="BB39" s="41"/>
      <c r="BC39" s="41"/>
      <c r="BD39" s="41"/>
      <c r="BE39" s="41">
        <f t="shared" si="11"/>
        <v>0</v>
      </c>
      <c r="BF39" s="41" t="str">
        <f t="shared" si="12"/>
        <v>no data</v>
      </c>
      <c r="BG39" s="77">
        <f t="shared" si="13"/>
        <v>0</v>
      </c>
      <c r="BH39" s="43"/>
      <c r="BI39" s="44"/>
      <c r="BJ39" s="45"/>
      <c r="BK39" s="46"/>
      <c r="BL39" s="47"/>
      <c r="BM39" s="47"/>
      <c r="BN39" s="47"/>
      <c r="BO39" s="45"/>
      <c r="BP39" s="48"/>
      <c r="BQ39" s="42"/>
      <c r="BR39" s="42"/>
      <c r="BS39" s="49">
        <f t="shared" si="14"/>
        <v>0</v>
      </c>
      <c r="BT39" s="41"/>
      <c r="BU39" s="41"/>
      <c r="BV39" s="51">
        <f t="shared" si="15"/>
        <v>0</v>
      </c>
      <c r="BW39" s="41">
        <f t="shared" si="16"/>
        <v>0</v>
      </c>
      <c r="BX39" s="41"/>
      <c r="BY39" s="41"/>
      <c r="CA39" s="41"/>
      <c r="CB39" s="41"/>
      <c r="CD39" s="41"/>
      <c r="CE39" s="41"/>
      <c r="CF39" s="41"/>
      <c r="CG39" s="41"/>
    </row>
    <row r="40" spans="1:89">
      <c r="A40" s="453"/>
      <c r="B40" s="24">
        <v>43135</v>
      </c>
      <c r="C40" s="25"/>
      <c r="D40" s="26"/>
      <c r="E40" s="38"/>
      <c r="F40" s="27"/>
      <c r="G40" s="27"/>
      <c r="H40" s="28"/>
      <c r="I40" s="28"/>
      <c r="J40" s="28"/>
      <c r="K40" s="28"/>
      <c r="L40" s="29"/>
      <c r="M40" s="29"/>
      <c r="N40" s="29"/>
      <c r="O40" s="29"/>
      <c r="P40" s="29"/>
      <c r="Q40" s="29"/>
      <c r="R40" s="29"/>
      <c r="S40" s="30"/>
      <c r="T40" s="30"/>
      <c r="U40" s="31"/>
      <c r="V40" s="31"/>
      <c r="W40" s="28"/>
      <c r="X40" s="28"/>
      <c r="Y40" s="28"/>
      <c r="Z40" s="28"/>
      <c r="AA40" s="28"/>
      <c r="AB40" s="27"/>
      <c r="AC40" s="32">
        <f t="shared" si="0"/>
        <v>0</v>
      </c>
      <c r="AD40" s="33">
        <f t="shared" si="1"/>
        <v>0</v>
      </c>
      <c r="AE40" s="27"/>
      <c r="AF40" s="34" t="str">
        <f t="shared" si="2"/>
        <v>no data</v>
      </c>
      <c r="AG40" s="35" t="str">
        <f t="shared" si="3"/>
        <v>no data</v>
      </c>
      <c r="AH40" s="34" t="str">
        <f t="shared" si="4"/>
        <v>no data</v>
      </c>
      <c r="AI40" s="36" t="e">
        <f t="shared" si="5"/>
        <v>#DIV/0!</v>
      </c>
      <c r="AJ40" s="37" t="str">
        <f t="shared" si="6"/>
        <v>no data</v>
      </c>
      <c r="AK40" s="44"/>
      <c r="AL40" s="38"/>
      <c r="AM40" s="38">
        <f t="shared" si="7"/>
        <v>0</v>
      </c>
      <c r="AN40" s="44"/>
      <c r="AO40" s="27"/>
      <c r="AP40" s="39">
        <f t="shared" si="8"/>
        <v>0</v>
      </c>
      <c r="AQ40" s="201" t="str">
        <f t="shared" si="9"/>
        <v>no data</v>
      </c>
      <c r="AR40" s="198"/>
      <c r="AS40" s="13"/>
      <c r="AT40" s="27"/>
      <c r="AU40" s="40"/>
      <c r="AV40" s="40"/>
      <c r="AW40" s="27"/>
      <c r="AX40" s="40"/>
      <c r="AY40" s="27"/>
      <c r="AZ40" s="27"/>
      <c r="BA40" s="4"/>
      <c r="BB40" s="41"/>
      <c r="BC40" s="41"/>
      <c r="BD40" s="41"/>
      <c r="BE40" s="41">
        <f t="shared" si="11"/>
        <v>0</v>
      </c>
      <c r="BF40" s="41" t="str">
        <f t="shared" si="12"/>
        <v>no data</v>
      </c>
      <c r="BG40" s="77">
        <f t="shared" si="13"/>
        <v>0</v>
      </c>
      <c r="BH40" s="43"/>
      <c r="BI40" s="44"/>
      <c r="BJ40" s="45"/>
      <c r="BK40" s="46"/>
      <c r="BL40" s="47"/>
      <c r="BM40" s="47"/>
      <c r="BN40" s="47"/>
      <c r="BO40" s="45"/>
      <c r="BP40" s="48"/>
      <c r="BQ40" s="42"/>
      <c r="BR40" s="42"/>
      <c r="BS40" s="49">
        <f t="shared" si="14"/>
        <v>0</v>
      </c>
      <c r="BT40" s="41"/>
      <c r="BU40" s="41"/>
      <c r="BV40" s="51">
        <f t="shared" si="15"/>
        <v>0</v>
      </c>
      <c r="BW40" s="41">
        <f t="shared" si="16"/>
        <v>0</v>
      </c>
      <c r="BX40" s="78"/>
      <c r="BY40" s="78"/>
      <c r="CA40" s="78"/>
      <c r="CB40" s="78"/>
      <c r="CD40" s="78"/>
      <c r="CE40" s="78"/>
      <c r="CF40" s="78"/>
      <c r="CG40" s="78"/>
    </row>
    <row r="41" spans="1:89">
      <c r="A41" s="79"/>
      <c r="B41" s="80" t="s">
        <v>83</v>
      </c>
      <c r="C41" s="81">
        <f>AVERAGE(C6:C37)</f>
        <v>57.322903225806449</v>
      </c>
      <c r="D41" s="82">
        <f>AVERAGE(D6:D37)</f>
        <v>0.68473225806451599</v>
      </c>
      <c r="E41" s="81">
        <f>AVERAGE(E6:E37)</f>
        <v>49.096451612903209</v>
      </c>
      <c r="F41" s="81">
        <f>AVERAGE(F6:F37)</f>
        <v>69.148387096774186</v>
      </c>
      <c r="G41" s="81">
        <f>AVERAGE(G6:G37)</f>
        <v>47.761290322580642</v>
      </c>
      <c r="H41" s="81">
        <f>SUM(H6:H36)+(INT(SUM(I6:I36)/60))</f>
        <v>741</v>
      </c>
      <c r="I41" s="81">
        <f>SUM(I6:I36)-(INT(SUM(I6:I36)/60)*60)</f>
        <v>26</v>
      </c>
      <c r="J41" s="81">
        <f>SUM(J6:J36)+(INT(SUM(K6:K36)/60))</f>
        <v>724</v>
      </c>
      <c r="K41" s="81">
        <f t="shared" ref="K41:Q41" si="17">SUM(K6:K36)-(INT(SUM(K6:K36)/60)*60)</f>
        <v>5</v>
      </c>
      <c r="L41" s="81">
        <f t="shared" si="17"/>
        <v>0</v>
      </c>
      <c r="M41" s="81">
        <f t="shared" si="17"/>
        <v>0</v>
      </c>
      <c r="N41" s="81">
        <f t="shared" si="17"/>
        <v>0</v>
      </c>
      <c r="O41" s="81">
        <f t="shared" si="17"/>
        <v>0</v>
      </c>
      <c r="P41" s="81">
        <f t="shared" si="17"/>
        <v>1</v>
      </c>
      <c r="Q41" s="81">
        <f t="shared" si="17"/>
        <v>58</v>
      </c>
      <c r="R41" s="83">
        <f>SUM(R6:R37)</f>
        <v>115160</v>
      </c>
      <c r="S41" s="83">
        <f>SUM(S6:S37)</f>
        <v>111468</v>
      </c>
      <c r="T41" s="83">
        <f>SUM(T6:T37)</f>
        <v>110990</v>
      </c>
      <c r="U41" s="196">
        <v>108893.93</v>
      </c>
      <c r="V41" s="84">
        <f>SUM(V6:V36)</f>
        <v>111999</v>
      </c>
      <c r="W41" s="85">
        <f t="shared" ref="W41:AB41" si="18">AVERAGE(W6:W36)</f>
        <v>44.741935483870968</v>
      </c>
      <c r="X41" s="85">
        <f t="shared" si="18"/>
        <v>3.870967741935484</v>
      </c>
      <c r="Y41" s="85">
        <f t="shared" si="18"/>
        <v>47.838709677419352</v>
      </c>
      <c r="Z41" s="85">
        <f t="shared" si="18"/>
        <v>34.903225806451616</v>
      </c>
      <c r="AA41" s="85">
        <f t="shared" si="18"/>
        <v>61.096774193548384</v>
      </c>
      <c r="AB41" s="85">
        <f t="shared" si="18"/>
        <v>0</v>
      </c>
      <c r="AC41" s="86">
        <f>V41-U41+AZ41</f>
        <v>3105.070000000007</v>
      </c>
      <c r="AD41" s="87">
        <f>(SUM($AD$6:$AD$36))</f>
        <v>-2299</v>
      </c>
      <c r="AE41" s="87">
        <f>AVERAGE(AE6:AE36)</f>
        <v>156.48387096774192</v>
      </c>
      <c r="AF41" s="88">
        <f>AVERAGE(AF6:AF36)</f>
        <v>0.96190345732187266</v>
      </c>
      <c r="AG41" s="90">
        <f>AVERAGE(AG6:AG36)</f>
        <v>154.78494623655914</v>
      </c>
      <c r="AH41" s="88">
        <f>U41/R41</f>
        <v>0.94558813824244525</v>
      </c>
      <c r="AI41" s="88">
        <f>AVERAGE(AI6:AI36)</f>
        <v>0.99177042035201435</v>
      </c>
      <c r="AJ41" s="88">
        <f>AVERAGE(AJ6:AJ36)</f>
        <v>0.97763565153686938</v>
      </c>
      <c r="AK41" s="89">
        <f>SUM(AK6:AK36)</f>
        <v>331.17900000000003</v>
      </c>
      <c r="AL41" s="89">
        <f>AVERAGE(AL6:AL36)</f>
        <v>136.7425806451613</v>
      </c>
      <c r="AM41" s="89">
        <f>SUM(AM6:AM36)</f>
        <v>45248.231720000003</v>
      </c>
      <c r="AN41" s="89">
        <f>SUM(AN6:AN36)</f>
        <v>923.49699999999984</v>
      </c>
      <c r="AO41" s="87">
        <f>AVERAGE(AO6:AO36)</f>
        <v>977.85040322580642</v>
      </c>
      <c r="AP41" s="90">
        <f>SUM(AP6:AP36)</f>
        <v>902947.40377249988</v>
      </c>
      <c r="AQ41" s="91">
        <f>((AM41+AP41))/(U41*1000)*1000000</f>
        <v>8707.5159790127873</v>
      </c>
      <c r="AR41" s="92"/>
      <c r="AS41" s="13"/>
      <c r="AT41" s="93">
        <f t="shared" ref="AT41:AZ41" si="19">SUM(AT12:AT40)</f>
        <v>0</v>
      </c>
      <c r="AU41" s="93">
        <f t="shared" si="19"/>
        <v>0</v>
      </c>
      <c r="AV41" s="93">
        <f t="shared" si="19"/>
        <v>69</v>
      </c>
      <c r="AW41" s="93">
        <f t="shared" si="19"/>
        <v>147</v>
      </c>
      <c r="AX41" s="93">
        <f t="shared" si="19"/>
        <v>202.7</v>
      </c>
      <c r="AY41" s="93">
        <f t="shared" si="19"/>
        <v>4801.8</v>
      </c>
      <c r="AZ41" s="93">
        <f t="shared" si="19"/>
        <v>0</v>
      </c>
      <c r="BA41" s="4"/>
      <c r="BB41" s="94">
        <f>SUM(BB12:BB40)</f>
        <v>26726</v>
      </c>
      <c r="BC41" s="94">
        <f>SUM(BC12:BC40)</f>
        <v>27824</v>
      </c>
      <c r="BD41" s="94">
        <f>SUM(BD12:BD40)</f>
        <v>35185</v>
      </c>
      <c r="BE41" s="6">
        <f>(BC41-BB41)</f>
        <v>1098</v>
      </c>
      <c r="BF41" s="95">
        <f t="shared" si="12"/>
        <v>8707.5159790127873</v>
      </c>
      <c r="BG41" s="95">
        <f t="shared" ref="BG41:BM41" si="20">SUM(BG12:BG40)</f>
        <v>1466.0416666666665</v>
      </c>
      <c r="BH41" s="95">
        <f t="shared" si="20"/>
        <v>48.504000000000005</v>
      </c>
      <c r="BI41" s="95">
        <f t="shared" si="20"/>
        <v>46.592000000000006</v>
      </c>
      <c r="BJ41" s="95">
        <f t="shared" si="20"/>
        <v>686.08</v>
      </c>
      <c r="BK41" s="95">
        <f t="shared" si="20"/>
        <v>689.56000000000006</v>
      </c>
      <c r="BL41" s="95">
        <f t="shared" si="20"/>
        <v>2876.72</v>
      </c>
      <c r="BM41" s="95">
        <f t="shared" si="20"/>
        <v>761.53</v>
      </c>
      <c r="BN41" s="96">
        <f>AVERAGE(BN12:BN40)</f>
        <v>996.63599999999974</v>
      </c>
      <c r="BO41" s="96">
        <f>AVERAGE(BO12:BO40)</f>
        <v>50.067999999999984</v>
      </c>
      <c r="BP41" s="96">
        <f>AVERAGE(BP12:BP40)</f>
        <v>0.9367359999999999</v>
      </c>
      <c r="BQ41" s="96">
        <f>AVERAGE(BQ12:BQ40)</f>
        <v>89.933999999999983</v>
      </c>
      <c r="BR41" s="96">
        <f>AVERAGE(BR12:BR40)</f>
        <v>84.57080000000002</v>
      </c>
      <c r="BS41" s="4"/>
      <c r="BT41" s="95">
        <f>AVERAGE(BT12:BT24)</f>
        <v>12175.153846153846</v>
      </c>
      <c r="BU41" s="95">
        <f>AVERAGE(BU12:BU24)</f>
        <v>11799.846153846154</v>
      </c>
      <c r="BV41" s="6"/>
      <c r="BW41" s="97">
        <f>(SUM(BW6:BW40))</f>
        <v>120.97200000000001</v>
      </c>
      <c r="BX41" s="97">
        <f>(SUM(BX12:BX40))</f>
        <v>574.52</v>
      </c>
      <c r="BY41" s="97">
        <f>(SUM(BY12:BY40))</f>
        <v>557.88</v>
      </c>
      <c r="CA41" s="97">
        <f>(SUM(CA6:CA31))</f>
        <v>395.42</v>
      </c>
      <c r="CB41" s="97">
        <f>(SUM(CB12:CB36))</f>
        <v>141.36000000000001</v>
      </c>
      <c r="CD41" s="97"/>
      <c r="CE41" s="97"/>
      <c r="CF41" s="97"/>
      <c r="CG41" s="97"/>
    </row>
    <row r="42" spans="1:89" ht="15.75" thickBot="1">
      <c r="A42" s="98"/>
      <c r="B42" s="99" t="s">
        <v>84</v>
      </c>
      <c r="C42" s="100" t="s">
        <v>85</v>
      </c>
      <c r="D42" s="101" t="s">
        <v>86</v>
      </c>
      <c r="E42" s="101"/>
      <c r="F42" s="102" t="s">
        <v>87</v>
      </c>
      <c r="G42" s="102" t="s">
        <v>88</v>
      </c>
      <c r="H42" s="102" t="s">
        <v>75</v>
      </c>
      <c r="I42" s="102" t="s">
        <v>76</v>
      </c>
      <c r="J42" s="102" t="s">
        <v>75</v>
      </c>
      <c r="K42" s="102" t="s">
        <v>76</v>
      </c>
      <c r="L42" s="102" t="s">
        <v>75</v>
      </c>
      <c r="M42" s="102" t="s">
        <v>76</v>
      </c>
      <c r="N42" s="102" t="s">
        <v>75</v>
      </c>
      <c r="O42" s="102" t="s">
        <v>76</v>
      </c>
      <c r="P42" s="103" t="s">
        <v>89</v>
      </c>
      <c r="Q42" s="103" t="s">
        <v>90</v>
      </c>
      <c r="R42" s="103" t="s">
        <v>91</v>
      </c>
      <c r="S42" s="103" t="s">
        <v>91</v>
      </c>
      <c r="T42" s="103" t="s">
        <v>91</v>
      </c>
      <c r="U42" s="103" t="s">
        <v>91</v>
      </c>
      <c r="V42" s="103" t="s">
        <v>91</v>
      </c>
      <c r="W42" s="103" t="s">
        <v>92</v>
      </c>
      <c r="X42" s="103" t="s">
        <v>93</v>
      </c>
      <c r="Y42" s="103" t="s">
        <v>94</v>
      </c>
      <c r="Z42" s="103" t="s">
        <v>93</v>
      </c>
      <c r="AA42" s="103" t="s">
        <v>94</v>
      </c>
      <c r="AB42" s="103" t="s">
        <v>93</v>
      </c>
      <c r="AC42" s="103" t="s">
        <v>95</v>
      </c>
      <c r="AD42" s="103" t="s">
        <v>96</v>
      </c>
      <c r="AE42" s="103" t="s">
        <v>97</v>
      </c>
      <c r="AF42" s="103" t="s">
        <v>98</v>
      </c>
      <c r="AG42" s="103" t="s">
        <v>99</v>
      </c>
      <c r="AH42" s="103" t="s">
        <v>99</v>
      </c>
      <c r="AI42" s="103"/>
      <c r="AJ42" s="103" t="s">
        <v>99</v>
      </c>
      <c r="AK42" s="103" t="s">
        <v>100</v>
      </c>
      <c r="AL42" s="103" t="s">
        <v>99</v>
      </c>
      <c r="AM42" s="103"/>
      <c r="AN42" s="103" t="s">
        <v>100</v>
      </c>
      <c r="AO42" s="103" t="s">
        <v>99</v>
      </c>
      <c r="AP42" s="104"/>
      <c r="AQ42" s="105" t="s">
        <v>99</v>
      </c>
      <c r="AR42" s="106"/>
      <c r="AS42" s="107"/>
      <c r="AZ42" s="108" t="s">
        <v>100</v>
      </c>
      <c r="BA42" s="4"/>
      <c r="BF42" s="109" t="str">
        <f t="shared" si="12"/>
        <v>Avg.</v>
      </c>
      <c r="BS42" s="4"/>
      <c r="BT42" s="5"/>
      <c r="BU42" s="5"/>
      <c r="BV42" s="6"/>
    </row>
    <row r="43" spans="1:89" ht="15.75" thickBot="1">
      <c r="B43" s="110"/>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c r="AK43" s="110"/>
      <c r="AL43" s="110"/>
      <c r="AM43" s="111"/>
      <c r="AQ43" s="112"/>
      <c r="AR43" s="112"/>
      <c r="AS43" s="4"/>
      <c r="BA43" s="113"/>
      <c r="BB43" s="114"/>
      <c r="BC43" s="114"/>
      <c r="BD43" s="114"/>
      <c r="BE43" s="6"/>
      <c r="BS43" s="4"/>
      <c r="BT43" s="5"/>
      <c r="BU43" s="5"/>
      <c r="BV43" s="6"/>
    </row>
    <row r="44" spans="1:89" ht="51.75" customHeight="1" thickBot="1">
      <c r="B44" s="115" t="s">
        <v>101</v>
      </c>
      <c r="C44" s="116" t="s">
        <v>102</v>
      </c>
      <c r="D44" s="116" t="s">
        <v>103</v>
      </c>
      <c r="E44" s="214"/>
      <c r="F44" s="428" t="s">
        <v>104</v>
      </c>
      <c r="G44" s="429"/>
      <c r="H44" s="428" t="s">
        <v>105</v>
      </c>
      <c r="I44" s="429"/>
      <c r="J44" s="428" t="s">
        <v>106</v>
      </c>
      <c r="K44" s="429"/>
      <c r="L44" s="428" t="s">
        <v>107</v>
      </c>
      <c r="M44" s="429"/>
      <c r="N44" s="428" t="s">
        <v>108</v>
      </c>
      <c r="O44" s="429"/>
      <c r="P44" s="428" t="s">
        <v>109</v>
      </c>
      <c r="Q44" s="429"/>
      <c r="R44" s="117" t="s">
        <v>110</v>
      </c>
      <c r="S44" s="118" t="s">
        <v>111</v>
      </c>
      <c r="T44" s="119" t="s">
        <v>112</v>
      </c>
      <c r="U44" s="116" t="s">
        <v>11</v>
      </c>
      <c r="V44" s="119" t="s">
        <v>12</v>
      </c>
      <c r="W44" s="116" t="s">
        <v>113</v>
      </c>
      <c r="X44" s="116" t="s">
        <v>14</v>
      </c>
      <c r="Y44" s="116" t="s">
        <v>114</v>
      </c>
      <c r="Z44" s="116" t="s">
        <v>16</v>
      </c>
      <c r="AA44" s="116" t="s">
        <v>18</v>
      </c>
      <c r="AB44" s="116" t="s">
        <v>17</v>
      </c>
      <c r="AC44" s="118" t="s">
        <v>19</v>
      </c>
      <c r="AD44" s="120" t="s">
        <v>20</v>
      </c>
      <c r="AE44" s="121" t="s">
        <v>21</v>
      </c>
      <c r="AF44" s="121" t="s">
        <v>22</v>
      </c>
      <c r="AG44" s="121" t="s">
        <v>115</v>
      </c>
      <c r="AH44" s="122" t="s">
        <v>116</v>
      </c>
      <c r="AI44" s="122" t="s">
        <v>25</v>
      </c>
      <c r="AJ44" s="123" t="s">
        <v>26</v>
      </c>
      <c r="AK44" s="119" t="s">
        <v>117</v>
      </c>
      <c r="AL44" s="124" t="s">
        <v>28</v>
      </c>
      <c r="AM44" s="124" t="s">
        <v>29</v>
      </c>
      <c r="AN44" s="119" t="s">
        <v>118</v>
      </c>
      <c r="AO44" s="124" t="s">
        <v>119</v>
      </c>
      <c r="AP44" s="124" t="s">
        <v>32</v>
      </c>
      <c r="AQ44" s="123" t="s">
        <v>120</v>
      </c>
      <c r="AR44" s="125"/>
      <c r="AS44" s="125"/>
      <c r="BA44" s="113"/>
      <c r="BB44" s="114"/>
      <c r="BC44" s="114"/>
      <c r="BD44" s="114"/>
      <c r="BE44" s="126">
        <f>AVERAGE(BE28:BE31)</f>
        <v>114.25</v>
      </c>
      <c r="BS44" s="4"/>
      <c r="BT44" s="5"/>
      <c r="BU44" s="5"/>
      <c r="BV44" s="6"/>
    </row>
    <row r="45" spans="1:89">
      <c r="B45" s="127" t="s">
        <v>78</v>
      </c>
      <c r="C45" s="128">
        <f>IF(C6=0,"no data",AVERAGE(C6:C12))</f>
        <v>55.699999999999996</v>
      </c>
      <c r="D45" s="129">
        <f>IF(D6=0,"no data",AVERAGE(D6:D12))</f>
        <v>0.68317142857142854</v>
      </c>
      <c r="E45" s="129"/>
      <c r="F45" s="128">
        <f>IF(F6=0,"no data",AVERAGE(F6:F12))</f>
        <v>67.285714285714292</v>
      </c>
      <c r="G45" s="128">
        <f>IF(G6=0,"no data",AVERAGE(G6:G12))</f>
        <v>46</v>
      </c>
      <c r="H45" s="128">
        <f>SUM(H6:H12)+INT(SUM(I6:I12)/60)</f>
        <v>168</v>
      </c>
      <c r="I45" s="128">
        <f>SUM(I6:I12)-INT(SUM(I6:I12)/60)*60</f>
        <v>0</v>
      </c>
      <c r="J45" s="128">
        <f>SUM(J6:J12)+INT(SUM(K6:K12)/60)</f>
        <v>168</v>
      </c>
      <c r="K45" s="128">
        <f>SUM(K6:K12)-INT(SUM(K6:K12)/60)*60</f>
        <v>0</v>
      </c>
      <c r="L45" s="128">
        <f>SUM(L6:L12)+INT(SUM(M6:M12)/60)</f>
        <v>0</v>
      </c>
      <c r="M45" s="128">
        <f>SUM(M6:M12)-INT(SUM(M6:M12)/60)*60</f>
        <v>0</v>
      </c>
      <c r="N45" s="128">
        <f>SUM(N6:N12)+INT(SUM(O6:O12)/60)</f>
        <v>0</v>
      </c>
      <c r="O45" s="128">
        <f>SUM(O6:O12)-INT(SUM(O6:O12)/60)*60</f>
        <v>0</v>
      </c>
      <c r="P45" s="128">
        <f>SUM(P6:P12)+INT(SUM(Q6:Q12)/60)</f>
        <v>168</v>
      </c>
      <c r="Q45" s="128">
        <f>SUM(Q6:Q12)-INT(SUM(Q6:Q12)/60)*60</f>
        <v>0</v>
      </c>
      <c r="R45" s="130">
        <f t="shared" ref="R45:W45" si="21">IF(R6=0,"no data", AVERAGE(R6:R12))</f>
        <v>3718.5714285714284</v>
      </c>
      <c r="S45" s="130">
        <f t="shared" si="21"/>
        <v>3679.8571428571427</v>
      </c>
      <c r="T45" s="130">
        <f t="shared" si="21"/>
        <v>3679.8571428571427</v>
      </c>
      <c r="U45" s="130">
        <f t="shared" si="21"/>
        <v>3600.5714285714284</v>
      </c>
      <c r="V45" s="130">
        <f t="shared" si="21"/>
        <v>3708.7142857142858</v>
      </c>
      <c r="W45" s="131">
        <f t="shared" si="21"/>
        <v>45.142857142857146</v>
      </c>
      <c r="X45" s="132" t="str">
        <f>IF(AND(X6=0,X7=0,X8=0,X9=0,X10=0,X11= 0,X12=0),"No outage",SUM(X6:X12))</f>
        <v>No outage</v>
      </c>
      <c r="Y45" s="132">
        <f>IF(Y6=0,"no data", AVERAGE(Y6:Y12))</f>
        <v>47.571428571428569</v>
      </c>
      <c r="Z45" s="132" t="str">
        <f>IF(AND(Z6=0,Z7=0,Z8=0,Z9=0,Z10=0,Z11= 0,Z12=0),"No outage",SUM(Z6:Z12))</f>
        <v>No outage</v>
      </c>
      <c r="AA45" s="132">
        <f>IF(AND(AA6=0,AA7=0,AA8=0,AA9=0,AA10=0, AA11=0,AA12=0),"No outage",SUM(AA6:AA12))</f>
        <v>430</v>
      </c>
      <c r="AB45" s="132" t="str">
        <f>IF(Z6=0,"no data", AVERAGE(AB6:AB12))</f>
        <v>no data</v>
      </c>
      <c r="AC45" s="128" t="str">
        <f>IF(Z6=0,"no data", SUM(AC6:AC12))</f>
        <v>no data</v>
      </c>
      <c r="AD45" s="128">
        <f>IF(AD6=0,"no data", SUM(AD6:AD12))</f>
        <v>-555</v>
      </c>
      <c r="AE45" s="131">
        <f t="shared" ref="AE45:AJ45" si="22">IF(AE6=0,"no data", AVERAGE(AE6:AE12))</f>
        <v>156.85714285714286</v>
      </c>
      <c r="AF45" s="133">
        <f t="shared" si="22"/>
        <v>0.98516579314823693</v>
      </c>
      <c r="AG45" s="132">
        <f t="shared" si="22"/>
        <v>154.9404761904762</v>
      </c>
      <c r="AH45" s="133">
        <f t="shared" si="22"/>
        <v>0.96826644453356103</v>
      </c>
      <c r="AI45" s="133">
        <f t="shared" si="22"/>
        <v>1</v>
      </c>
      <c r="AJ45" s="133">
        <f t="shared" si="22"/>
        <v>1</v>
      </c>
      <c r="AK45" s="132">
        <f>IF(AK6=0,"no data", SUM(AK6:AK12))</f>
        <v>77.391000000000005</v>
      </c>
      <c r="AL45" s="132">
        <f>IF(AL6=0,"no data", AVERAGE(AL6:AL12))</f>
        <v>138.21</v>
      </c>
      <c r="AM45" s="132">
        <f>AK45*AL45</f>
        <v>10696.210110000002</v>
      </c>
      <c r="AN45" s="132">
        <f>IF(AN6=0,"no data", SUM(AN6:AN12))</f>
        <v>213.84100000000001</v>
      </c>
      <c r="AO45" s="132">
        <f>IF(AO6=0,"no data", AVERAGE(AO6:AO12))</f>
        <v>979.12914285714294</v>
      </c>
      <c r="AP45" s="132">
        <f>AN45*AO45</f>
        <v>209377.9550377143</v>
      </c>
      <c r="AQ45" s="134">
        <f>IF(AQ6=0,"no data", AVERAGE(AQ6:AQ12))</f>
        <v>8731.6308421433478</v>
      </c>
      <c r="AR45" s="135"/>
      <c r="AS45" s="136"/>
      <c r="BA45" s="113"/>
      <c r="BB45" s="114"/>
      <c r="BC45" s="114"/>
      <c r="BD45" s="114"/>
      <c r="BS45" s="4"/>
      <c r="BT45" s="5"/>
      <c r="BU45" s="5"/>
      <c r="BV45" s="6"/>
    </row>
    <row r="46" spans="1:89">
      <c r="B46" s="127" t="s">
        <v>79</v>
      </c>
      <c r="C46" s="137">
        <f>IF(C13=0,"no data", AVERAGE(C13:C19))</f>
        <v>59.471428571428575</v>
      </c>
      <c r="D46" s="138">
        <f>IF(D13=0,"no data", AVERAGE(D13:D19))</f>
        <v>0.66028571428571425</v>
      </c>
      <c r="E46" s="138"/>
      <c r="F46" s="137">
        <f>IF(F13=0,"no data", AVERAGE(F13:F19))</f>
        <v>73.8</v>
      </c>
      <c r="G46" s="137">
        <f>IF(G13=0,"no data", AVERAGE(G13:G19))</f>
        <v>48.657142857142858</v>
      </c>
      <c r="H46" s="137">
        <f>SUM(H13:H19)+INT(SUM(I13:I19)/60)</f>
        <v>168</v>
      </c>
      <c r="I46" s="137">
        <f>SUM(I13:I19)-INT(SUM(J13:J19)/60)</f>
        <v>-2</v>
      </c>
      <c r="J46" s="137">
        <f>SUM(J13:J19)+INT(SUM(K13:K19)/60)</f>
        <v>168</v>
      </c>
      <c r="K46" s="137">
        <f>SUM(K13:K19)-INT(SUM(L13:L19)/60)*60</f>
        <v>0</v>
      </c>
      <c r="L46" s="137">
        <f>SUM(L13:L19)+INT(SUM(M13:M19)/60)</f>
        <v>0</v>
      </c>
      <c r="M46" s="137">
        <f>SUM(M13:M19)-INT(SUM(N13:N19)/60)*60</f>
        <v>0</v>
      </c>
      <c r="N46" s="137">
        <f>SUM(N13:N19)+INT(SUM(O13:O19)/60)</f>
        <v>0</v>
      </c>
      <c r="O46" s="137">
        <f>SUM(O13:O19)-INT(SUM(P13:P19)/60)*60</f>
        <v>-120</v>
      </c>
      <c r="P46" s="137">
        <f>SUM(P13:P19)+INT(SUM(Q13:Q19)/60)</f>
        <v>154</v>
      </c>
      <c r="Q46" s="137">
        <f>SUM(Q7:Q13)-INT(SUM(Q13:Q19)/60)*60</f>
        <v>0</v>
      </c>
      <c r="R46" s="139">
        <f>IF(R13=0,"no data", AVERAGE(R13:R19))</f>
        <v>3712.7142857142858</v>
      </c>
      <c r="S46" s="139">
        <f>IF(S13=0,"no data", AVERAGE(S13:S19))</f>
        <v>3647.1428571428573</v>
      </c>
      <c r="T46" s="139">
        <f>IF(T13=0,"no data", AVERAGE(T13:T19))</f>
        <v>3604.1428571428573</v>
      </c>
      <c r="U46" s="139">
        <f>IF(U13=0,"no data", SUM(U13:U19))</f>
        <v>24688</v>
      </c>
      <c r="V46" s="139">
        <f>IF(V13=0,"no data", SUM(V13:V19))</f>
        <v>25441</v>
      </c>
      <c r="W46" s="139">
        <f>IF(W13=0,"no data", AVERAGE(W13:W19))</f>
        <v>45.285714285714285</v>
      </c>
      <c r="X46" s="140" t="str">
        <f>IF(AND(X13=0,X14=0,X15=0,X16=0,X17=0,X18=0,X19=0),"No outage",SUM(X13:X19))</f>
        <v>No outage</v>
      </c>
      <c r="Y46" s="140">
        <f>IF(AND(Y13=0,Y14=0,Y15=0,Y16=0,Y17=0,Y18=0,Y19=0),"No outage",SUM(Y13:Y19))</f>
        <v>328</v>
      </c>
      <c r="Z46" s="139" t="str">
        <f>IF(Z13=0,"no data", AVERAGE(Z13:Z19))</f>
        <v>no data</v>
      </c>
      <c r="AA46" s="140">
        <f>IF(AND(AA13=0,AA14=0,AA15=0,AA16=0,AA17=0,AA18=0,AA19=0),"No outage",SUM(AA13:AA19))</f>
        <v>422</v>
      </c>
      <c r="AB46" s="139" t="str">
        <f>IF(AB13=0,"no data", AVERAGE(AB13:AB19))</f>
        <v>no data</v>
      </c>
      <c r="AC46" s="139">
        <f>IF(AC13=0,"no data", SUM(AC13:AC19))</f>
        <v>753</v>
      </c>
      <c r="AD46" s="139">
        <f>IF(AD13=0,"no data", SUM(AD13:AD19))</f>
        <v>-541</v>
      </c>
      <c r="AE46" s="139">
        <f t="shared" ref="AE46:AJ46" si="23">IF(AE13=0,"no data", AVERAGE(AE13:AE19))</f>
        <v>156</v>
      </c>
      <c r="AF46" s="141">
        <f t="shared" si="23"/>
        <v>0.97076201941108453</v>
      </c>
      <c r="AG46" s="139">
        <f t="shared" si="23"/>
        <v>154.69642857142861</v>
      </c>
      <c r="AH46" s="141">
        <f t="shared" si="23"/>
        <v>0.9499335484398419</v>
      </c>
      <c r="AI46" s="141">
        <f t="shared" si="23"/>
        <v>1</v>
      </c>
      <c r="AJ46" s="141">
        <f t="shared" si="23"/>
        <v>0.99306118536111643</v>
      </c>
      <c r="AK46" s="142">
        <f>IF(AK13=0,"no data",SUM(AK13:AK19))</f>
        <v>77.485000000000014</v>
      </c>
      <c r="AL46" s="143">
        <f>IF(AL13=0,"no data", AVERAGE(AL13:AL19))</f>
        <v>136.41857142857143</v>
      </c>
      <c r="AM46" s="140">
        <f>AK46*AL46</f>
        <v>10570.393007142859</v>
      </c>
      <c r="AN46" s="140">
        <f>IF(AN13=0,"no data", SUM(AN13:AN19))</f>
        <v>209.85299999999998</v>
      </c>
      <c r="AO46" s="142">
        <f>IF(AO13=0,"no data",AVERAGE(AO13:AO19))</f>
        <v>978.28685714285712</v>
      </c>
      <c r="AP46" s="140">
        <f>AN46*AO46</f>
        <v>205296.43183199997</v>
      </c>
      <c r="AQ46" s="144">
        <f>IF(AQ13=0,"no data", AVERAGE(AQ13:AQ19))</f>
        <v>8743.7614705226188</v>
      </c>
      <c r="AR46" s="135"/>
      <c r="AS46" s="136"/>
      <c r="AX46">
        <f>3413/12465</f>
        <v>0.27380665864420378</v>
      </c>
      <c r="BA46" s="113"/>
      <c r="BC46" s="114"/>
      <c r="BS46" s="4"/>
      <c r="BT46" s="5"/>
      <c r="BU46" s="5"/>
      <c r="BV46" s="6"/>
    </row>
    <row r="47" spans="1:89">
      <c r="A47" s="145"/>
      <c r="B47" s="127" t="s">
        <v>80</v>
      </c>
      <c r="C47" s="140">
        <f>IF(C20=0,"no data", AVERAGE(C20:C26))</f>
        <v>60.385714285714286</v>
      </c>
      <c r="D47" s="138">
        <f>IF(D20=0,"no data", AVERAGE(D20:D26))</f>
        <v>0.60687142857142862</v>
      </c>
      <c r="E47" s="138"/>
      <c r="F47" s="140">
        <f>IF(F20=0,"no data", AVERAGE(F20:F26))</f>
        <v>73.285714285714292</v>
      </c>
      <c r="G47" s="140">
        <f>IF(G20=0,"no data", AVERAGE(G20:G26))</f>
        <v>49.428571428571431</v>
      </c>
      <c r="H47" s="137">
        <f>SUM(H20:H26)+INT(SUM(I20:I26)/60)</f>
        <v>168</v>
      </c>
      <c r="I47" s="137">
        <f>SUM(I20:I26)-INT(SUM(I26:I26)/60)*60</f>
        <v>0</v>
      </c>
      <c r="J47" s="137">
        <f>SUM(J20:J26)+INT(SUM(K20:K26)/60)</f>
        <v>150</v>
      </c>
      <c r="K47" s="137">
        <f>SUM(K20:K26)-INT(SUM(K20:K26)/60)*60</f>
        <v>37</v>
      </c>
      <c r="L47" s="137">
        <f>SUM(L20:L26)+INT(SUM(M20:M26)/60)</f>
        <v>0</v>
      </c>
      <c r="M47" s="137">
        <f>SUM(M20:M26)-INT(SUM(M20:M26)/60)*60</f>
        <v>0</v>
      </c>
      <c r="N47" s="137">
        <f>SUM(N20:N26)+INT(SUM(O20:O26)/60)</f>
        <v>0</v>
      </c>
      <c r="O47" s="137">
        <f>SUM(O20:O26)-INT(SUM(O20:O26)/60)*60</f>
        <v>0</v>
      </c>
      <c r="P47" s="137">
        <f>SUM(P20:P26)+INT(SUM(Q20:Q26)/60)</f>
        <v>141</v>
      </c>
      <c r="Q47" s="137">
        <f>SUM(Q20:Q26)-INT(SUM(Q20:Q26)/60)*60</f>
        <v>59</v>
      </c>
      <c r="R47" s="139">
        <f>IF(R20=0,"no data", AVERAGE(R20:R26))</f>
        <v>3710.2857142857142</v>
      </c>
      <c r="S47" s="139">
        <f>IF(S20=0,"no data", AVERAGE(S20:S26))</f>
        <v>3479.7142857142858</v>
      </c>
      <c r="T47" s="139">
        <f>IF(T20=0,"no data", AVERAGE(T20:T26))</f>
        <v>3454.4285714285716</v>
      </c>
      <c r="U47" s="146">
        <f>IF(U20=0,"no data", SUM(U20:U26))</f>
        <v>23728</v>
      </c>
      <c r="V47" s="146">
        <f>IF(V20=0,"no data", SUM(V20:V26))</f>
        <v>24463</v>
      </c>
      <c r="W47" s="146">
        <f>IF(W20=0,"no data", AVERAGE(W20:W26))</f>
        <v>44.571428571428569</v>
      </c>
      <c r="X47" s="140" t="str">
        <f>IF(AND(X20=0,X21=0,X22=0,X23=0,X24=0,X25=0,X26=0),"No outage",SUM(X20:X26))</f>
        <v>No outage</v>
      </c>
      <c r="Y47" s="140">
        <f>IF(AND(Y20=0,Y21=0,Y22=0,Y23=0,Y24=0,Y25=0,Y26=0),"No outage",SUM(Y20:Y26))</f>
        <v>340</v>
      </c>
      <c r="Z47" s="146" t="str">
        <f>IF(Z20=0,"no data", AVERAGE(Z20:Z26))</f>
        <v>no data</v>
      </c>
      <c r="AA47" s="140">
        <f>IF(AND(AA20=0,AA21=0,AA22=0,AA23=0,AA24=0,AA25=0,AA26=0),"No outage",SUM(AA20:AA26))</f>
        <v>422</v>
      </c>
      <c r="AB47" s="140" t="str">
        <f>IF(AB20=0,"no data", AVERAGE(AB20:AB26))</f>
        <v>no data</v>
      </c>
      <c r="AC47" s="140">
        <f>IF(AC20=0,"no data", SUM(AC20:AC26))</f>
        <v>735</v>
      </c>
      <c r="AD47" s="146">
        <f>IF(AD20=0,"no data", SUM(AD20:AD26))</f>
        <v>-453</v>
      </c>
      <c r="AE47" s="140">
        <f t="shared" ref="AE47:AJ47" si="24">IF(AE20=0,"no data", AVERAGE(AE20:AE26))</f>
        <v>157</v>
      </c>
      <c r="AF47" s="141">
        <f t="shared" si="24"/>
        <v>0.92716136252730219</v>
      </c>
      <c r="AG47" s="140">
        <f t="shared" si="24"/>
        <v>154.59523809523807</v>
      </c>
      <c r="AH47" s="141">
        <f t="shared" si="24"/>
        <v>0.91362730271250581</v>
      </c>
      <c r="AI47" s="141">
        <f t="shared" si="24"/>
        <v>0.97019530034235912</v>
      </c>
      <c r="AJ47" s="141">
        <f t="shared" si="24"/>
        <v>0.94487352163087457</v>
      </c>
      <c r="AK47" s="140">
        <f>IF(AK20=0,"no data", SUM(AK20:AK26))</f>
        <v>69.340999999999994</v>
      </c>
      <c r="AL47" s="140">
        <f>IF(AL20=0,"no data", AVERAGE(AL20:AL26))</f>
        <v>136.52285714285716</v>
      </c>
      <c r="AM47" s="140">
        <f>AK47*AL47</f>
        <v>9466.631437142858</v>
      </c>
      <c r="AN47" s="140">
        <f>IF(AN20=0,"no data", SUM(AN20:AN25))</f>
        <v>171.95600000000002</v>
      </c>
      <c r="AO47" s="140">
        <f>IF(AO20=0,"no data", AVERAGE(AO20:AO25))</f>
        <v>977.24166666666667</v>
      </c>
      <c r="AP47" s="140">
        <f>AN47*AO47</f>
        <v>168042.56803333334</v>
      </c>
      <c r="AQ47" s="144">
        <f>IF(AQ20=0,"no data", AVERAGE(AQ20:AQ26))</f>
        <v>8724.5428140538734</v>
      </c>
      <c r="AR47" s="135"/>
      <c r="AS47" s="136"/>
      <c r="AT47" s="145"/>
      <c r="AU47" s="145"/>
      <c r="AV47" s="145"/>
      <c r="AW47" s="145"/>
      <c r="AX47" s="145">
        <f>3413/12796</f>
        <v>0.26672397624257582</v>
      </c>
      <c r="AY47" s="145"/>
      <c r="AZ47" s="145"/>
      <c r="BA47" s="113"/>
      <c r="BB47" s="145"/>
      <c r="BC47" s="114"/>
      <c r="BD47" s="145"/>
      <c r="BE47" s="145"/>
      <c r="BF47" s="145"/>
      <c r="BG47" s="145"/>
      <c r="BS47" s="4"/>
      <c r="BT47" s="5"/>
      <c r="BU47" s="5"/>
      <c r="BV47" s="6"/>
    </row>
    <row r="48" spans="1:89">
      <c r="B48" s="127" t="s">
        <v>81</v>
      </c>
      <c r="C48" s="140">
        <f>IF(C21=0,"no data", AVERAGE(C27:C33))</f>
        <v>52.54</v>
      </c>
      <c r="D48" s="138">
        <f>IF(D21=0,"no data", AVERAGE(D27:D33))</f>
        <v>0.80344285714285701</v>
      </c>
      <c r="E48" s="138"/>
      <c r="F48" s="140">
        <f>IF(F21=0,"no data", AVERAGE(F27:F33))</f>
        <v>61.142857142857146</v>
      </c>
      <c r="G48" s="140">
        <f>IF(G21=0,"no data", AVERAGE(G27:G33))</f>
        <v>46.142857142857146</v>
      </c>
      <c r="H48" s="137">
        <f>SUM(H27:H33)+INT(SUM(I27:I33)/60)</f>
        <v>165</v>
      </c>
      <c r="I48" s="137">
        <f>SUM(I27:I33)-INT(SUM(I27:I33)/60)*60</f>
        <v>26</v>
      </c>
      <c r="J48" s="137">
        <f>SUM(J27:J33)+INT(SUM(K27:K33)/60)</f>
        <v>165</v>
      </c>
      <c r="K48" s="137">
        <f>SUM(K27:K33)-INT(SUM(K27:K33)/60)*60</f>
        <v>28</v>
      </c>
      <c r="L48" s="137">
        <f>SUM(L27:L33)+INT(SUM(M27:M33)/60)</f>
        <v>0</v>
      </c>
      <c r="M48" s="137">
        <f>SUM(M27:M33)-INT(SUM(M27:M33)/60)*60</f>
        <v>0</v>
      </c>
      <c r="N48" s="137">
        <f>SUM(N27:N33)+INT(SUM(O27:O33)/60)</f>
        <v>0</v>
      </c>
      <c r="O48" s="137">
        <f>SUM(O27:O33)-INT(SUM(O27:O33)/60)*60</f>
        <v>0</v>
      </c>
      <c r="P48" s="137">
        <f>SUM(P27:P33)+INT(SUM(Q27:Q33)/60)</f>
        <v>162</v>
      </c>
      <c r="Q48" s="137">
        <f>SUM(Q27:Q33)-INT(SUM(Q27:Q33)/60)*60</f>
        <v>16</v>
      </c>
      <c r="R48" s="139">
        <f>IF(R27=0,"no data", AVERAGE(R27:R33))</f>
        <v>3719.1428571428573</v>
      </c>
      <c r="S48" s="139">
        <f>IF(S27=0,"no data", AVERAGE(S27:S33))</f>
        <v>3629.4285714285716</v>
      </c>
      <c r="T48" s="139">
        <f>IF(T27=0,"no data", AVERAGE(T27:T33))</f>
        <v>3629.4285714285716</v>
      </c>
      <c r="U48" s="139">
        <f>IF(U27=0,"no data", SUM(U27:U33))</f>
        <v>24906</v>
      </c>
      <c r="V48" s="139">
        <f>IF(V27=0,"no data", SUM(V27:V33))</f>
        <v>25660</v>
      </c>
      <c r="W48" s="146">
        <f>IF(W27=0,"no data", AVERAGE(W27:W33))</f>
        <v>44</v>
      </c>
      <c r="X48" s="140">
        <f>IF(AND(X27=0,X28=0,X29=0,X30=0,X31=0,X32=0,X33=0),"No outage",SUM(X27:X33))</f>
        <v>120</v>
      </c>
      <c r="Y48" s="140">
        <f>IF(AND(Y27=0,Y28=0,Y29=0,Y30=0,Y31=0,Y32=0,Y33=0),"No outage",SUM(Y27:Y33))</f>
        <v>342</v>
      </c>
      <c r="Z48" s="146" t="str">
        <f>IF(Z27=0,"no data", AVERAGE(Z27:Z33))</f>
        <v>no data</v>
      </c>
      <c r="AA48" s="140">
        <f>IF(AND(AA27=0,AA28=0,AA29=0,AA30=0,AA31=0,AA32=0,AA33=0),"No outage",SUM(AA27:AA33))</f>
        <v>434</v>
      </c>
      <c r="AB48" s="140" t="str">
        <f>IF(AB27=0,"no data", AVERAGE(AB27:AB33))</f>
        <v>no data</v>
      </c>
      <c r="AC48" s="139">
        <f>IF(AC27=0,"no data", SUM(AC27:AC33))</f>
        <v>754</v>
      </c>
      <c r="AD48" s="139">
        <f>IF(AD27=0,"no data", SUM(AD27:AD33))</f>
        <v>-500</v>
      </c>
      <c r="AE48" s="146">
        <f t="shared" ref="AE48:AJ48" si="25">IF(AE27=0,"no data", AVERAGE(AE27:AE33))</f>
        <v>156.71428571428572</v>
      </c>
      <c r="AF48" s="138">
        <f t="shared" si="25"/>
        <v>0.97471619695577605</v>
      </c>
      <c r="AG48" s="140">
        <f t="shared" si="25"/>
        <v>154.96428571428572</v>
      </c>
      <c r="AH48" s="138">
        <f t="shared" si="25"/>
        <v>0.95667402455275707</v>
      </c>
      <c r="AI48" s="138">
        <f t="shared" si="25"/>
        <v>0.99335941835941832</v>
      </c>
      <c r="AJ48" s="138">
        <f t="shared" si="25"/>
        <v>0.98531542861900001</v>
      </c>
      <c r="AK48" s="139">
        <f>IF(AK27=0,"no data", SUM(AK27:AK33))</f>
        <v>74.852000000000004</v>
      </c>
      <c r="AL48" s="140">
        <f>IF(AL27=0,"no data", AVERAGE(AL27:AL33))</f>
        <v>136.27142857142857</v>
      </c>
      <c r="AM48" s="140">
        <f>AK48*AL48</f>
        <v>10200.188971428572</v>
      </c>
      <c r="AN48" s="140">
        <f>IF(AN27=0,"no data", SUM(AN27:AN33))</f>
        <v>212.358</v>
      </c>
      <c r="AO48" s="140">
        <f>IF(AO27=0,"no data", AVERAGE(AO27:AO33))</f>
        <v>976</v>
      </c>
      <c r="AP48" s="140">
        <f>AN48*AO48</f>
        <v>207261.408</v>
      </c>
      <c r="AQ48" s="144">
        <f>IF(AQ27=0,"no data", AVERAGE(AQ27:AQ33))</f>
        <v>8731.3947423254904</v>
      </c>
      <c r="AR48" s="135"/>
      <c r="AS48" s="136"/>
      <c r="BA48" s="113"/>
      <c r="BC48" s="114"/>
      <c r="BS48" s="4"/>
      <c r="BT48" s="5"/>
      <c r="BU48" s="5"/>
      <c r="BV48" s="6"/>
    </row>
    <row r="49" spans="2:74">
      <c r="B49" s="127" t="s">
        <v>82</v>
      </c>
      <c r="C49" s="140">
        <f>IF(C34=0,"no data", AVERAGE(C34:C40))</f>
        <v>60.109999999999992</v>
      </c>
      <c r="D49" s="140">
        <f>IF(D34=0,"no data", AVERAGE(D34:D40))</f>
        <v>0.65010000000000001</v>
      </c>
      <c r="E49" s="140"/>
      <c r="F49" s="140">
        <f>IF(F34=0,"no data", AVERAGE(F34:F40))</f>
        <v>71.666666666666671</v>
      </c>
      <c r="G49" s="140">
        <f>IF(G34=0,"no data", AVERAGE(G34:G40))</f>
        <v>49.666666666666664</v>
      </c>
      <c r="H49" s="137">
        <f>SUM(H34:H40)+INT(SUM(I34:I40)/60)</f>
        <v>72</v>
      </c>
      <c r="I49" s="137">
        <f>SUM(I34:I40)-INT(SUM(I34:I40)/60)*60</f>
        <v>0</v>
      </c>
      <c r="J49" s="137">
        <f>SUM(J34:J40)+INT(SUM(K34:K40)/60)</f>
        <v>72</v>
      </c>
      <c r="K49" s="137">
        <f>SUM(K34:K40)-INT(SUM(K34:K40)/60)*60</f>
        <v>0</v>
      </c>
      <c r="L49" s="137">
        <f>SUM(L34:L40)+INT(SUM(M34:M40)/60)</f>
        <v>0</v>
      </c>
      <c r="M49" s="137">
        <f>SUM(M34:M40)-INT(SUM(M34:M40)/60)*60</f>
        <v>0</v>
      </c>
      <c r="N49" s="137">
        <f>SUM(N34:N40)+INT(SUM(O34:O40)/60)</f>
        <v>0</v>
      </c>
      <c r="O49" s="137">
        <f>SUM(O34:O40)-INT(SUM(O34:O40)/60)*60</f>
        <v>0</v>
      </c>
      <c r="P49" s="137">
        <f>SUM(P34:P40)+INT(SUM(Q34:Q40)/60)</f>
        <v>37</v>
      </c>
      <c r="Q49" s="137">
        <f>SUM(Q34:Q40)-INT(SUM(Q34:Q40)/60)*60</f>
        <v>0</v>
      </c>
      <c r="R49" s="139">
        <f>IF(R28=0,"no data", AVERAGE(R34:R40))</f>
        <v>3711.6666666666665</v>
      </c>
      <c r="S49" s="139">
        <f>IF(S34=0,"no data", AVERAGE(S34:S40))</f>
        <v>3471.6666666666665</v>
      </c>
      <c r="T49" s="139">
        <f>IF(T34=0,"no data", AVERAGE(T34:T40))</f>
        <v>3471.6666666666665</v>
      </c>
      <c r="U49" s="139">
        <f>IF(U34=0,"no data", SUM(U34:U40))</f>
        <v>10165</v>
      </c>
      <c r="V49" s="139">
        <f>IF(V34=0,"no data", SUM(V34:V40))</f>
        <v>10474</v>
      </c>
      <c r="W49" s="146">
        <f>IF(W34=0,"no data", AVERAGE(W34:W40))</f>
        <v>44.666666666666664</v>
      </c>
      <c r="X49" s="140" t="e">
        <f>IF(AND(X34=0,X35=0,X36=0,X37=0,X38=0,X39=0,#REF!=0),"No outage",SUM(X34:X40))</f>
        <v>#REF!</v>
      </c>
      <c r="Y49" s="140" t="e">
        <f>IF(AND(Y34=0,Y35=0,Y36=0,Y37=0,Y38=0,Y39=0,#REF!=0),"No outage",SUM(Y34:Y40))</f>
        <v>#REF!</v>
      </c>
      <c r="Z49" s="146" t="str">
        <f>IF(Z34=0,"no data", AVERAGE(Z34:Z40))</f>
        <v>no data</v>
      </c>
      <c r="AA49" s="140" t="e">
        <f>IF(AND(AA34=0,AA35=0,AA36=0,AA37=0,AA38=0,AA39=0,#REF!=0),"No outage",SUM(AA34:AA40))</f>
        <v>#REF!</v>
      </c>
      <c r="AB49" s="140" t="str">
        <f>IF(AB34=0,"no data", AVERAGE(AB34:AB40))</f>
        <v>no data</v>
      </c>
      <c r="AC49" s="139">
        <f>IF(AC34=0,"no data", SUM(AC34:AC40))</f>
        <v>309</v>
      </c>
      <c r="AD49" s="139">
        <f>IF(AD34=0,"no data", SUM(AD34:AD40))</f>
        <v>-250</v>
      </c>
      <c r="AE49" s="146">
        <f>IF(AE34=0,"no data", AVERAGE(AE34:AE40))</f>
        <v>155</v>
      </c>
      <c r="AF49" s="138">
        <f>IF(AF34=0,"no data", AVERAGE(AF34:AF40))</f>
        <v>0.93812319089375062</v>
      </c>
      <c r="AG49" s="140">
        <f>IF(AG34=0,"no data", AVERAGE(AG34:AG40))</f>
        <v>154.6527777777778</v>
      </c>
      <c r="AH49" s="138">
        <f>IF(AH34=0,"no data", AVERAGE(AH34:AH40))</f>
        <v>0.91280822759099089</v>
      </c>
      <c r="AI49" s="138" t="e">
        <f>IF(AI28=0,"no data", AVERAGE(AI34:AI40))</f>
        <v>#DIV/0!</v>
      </c>
      <c r="AJ49" s="138">
        <f>IF(AJ34=0,"no data", AVERAGE(AJ34:AJ40))</f>
        <v>0.94798474945533773</v>
      </c>
      <c r="AK49" s="139">
        <f>IF(AK34=0,"no data", SUM(AK34:AK40))</f>
        <v>32.11</v>
      </c>
      <c r="AL49" s="140">
        <f>IF(AL34=0,"no data", AVERAGE(AL34:AL40))</f>
        <v>135.68666666666667</v>
      </c>
      <c r="AM49" s="140">
        <f>AK49*AL49</f>
        <v>4356.8988666666664</v>
      </c>
      <c r="AN49" s="140">
        <f>IF(AN34=0,"no data", SUM(AN34:AN40))</f>
        <v>85.522999999999996</v>
      </c>
      <c r="AO49" s="140">
        <f>IF(AO34=0,"no data", AVERAGE(AO34:AO40))</f>
        <v>979.66683333333333</v>
      </c>
      <c r="AP49" s="140">
        <f>AN49*AO49</f>
        <v>83784.046587166667</v>
      </c>
      <c r="AQ49" s="140">
        <f>IF(AQ34=0,"no data", AVERAGE(AQ34:AQ40))</f>
        <v>8665.3264856636597</v>
      </c>
      <c r="AR49" s="135"/>
      <c r="AS49" s="136"/>
      <c r="BA49" s="113"/>
      <c r="BC49" s="114"/>
      <c r="BS49" s="4"/>
      <c r="BT49" s="5"/>
      <c r="BU49" s="5"/>
      <c r="BV49" s="6"/>
    </row>
    <row r="50" spans="2:74">
      <c r="B50" s="147"/>
      <c r="C50" s="148"/>
      <c r="D50" s="148"/>
      <c r="E50" s="148"/>
      <c r="F50" s="148"/>
      <c r="G50" s="149"/>
      <c r="H50" s="149"/>
      <c r="I50" s="149"/>
      <c r="J50" s="149"/>
      <c r="K50" s="150"/>
      <c r="L50" s="150"/>
      <c r="M50" s="150"/>
      <c r="N50" s="150"/>
      <c r="O50" s="151"/>
      <c r="P50" s="151"/>
      <c r="Q50" s="148"/>
      <c r="R50" s="148"/>
      <c r="S50" s="148"/>
      <c r="T50" s="148"/>
      <c r="U50" s="148"/>
      <c r="V50" s="148"/>
      <c r="W50" s="148"/>
      <c r="X50" s="148"/>
      <c r="Y50" s="148"/>
      <c r="Z50" s="148"/>
      <c r="AA50" s="148"/>
      <c r="AB50" s="148"/>
      <c r="AC50" s="151"/>
      <c r="AD50" s="151"/>
      <c r="AE50" s="148"/>
      <c r="AF50" s="151"/>
      <c r="AG50" s="151"/>
      <c r="AH50" s="148"/>
      <c r="AI50" s="148"/>
      <c r="AJ50" s="148"/>
      <c r="AK50" s="148"/>
      <c r="AL50" s="148"/>
      <c r="AM50" s="148"/>
      <c r="AQ50" s="126"/>
      <c r="AR50" s="126"/>
      <c r="AS50" s="126"/>
      <c r="AT50" s="126"/>
      <c r="BA50" s="113"/>
      <c r="BC50" s="114"/>
      <c r="BS50" s="4"/>
      <c r="BT50" s="5"/>
      <c r="BU50" s="5"/>
      <c r="BV50" s="6"/>
    </row>
    <row r="51" spans="2:74" ht="15.75" thickBot="1">
      <c r="B51" s="147"/>
      <c r="C51" s="148"/>
      <c r="D51" s="148"/>
      <c r="E51" s="148"/>
      <c r="F51" s="148"/>
      <c r="G51" s="149"/>
      <c r="H51" s="149"/>
      <c r="I51" s="149"/>
      <c r="J51" s="149"/>
      <c r="K51" s="150"/>
      <c r="L51" s="150"/>
      <c r="M51" s="150"/>
      <c r="N51" s="150"/>
      <c r="O51" s="151"/>
      <c r="P51" s="151"/>
      <c r="Q51" s="148"/>
      <c r="R51" s="148"/>
      <c r="S51" s="148"/>
      <c r="T51" s="148"/>
      <c r="U51" s="148"/>
      <c r="V51" s="148"/>
      <c r="W51" s="148"/>
      <c r="X51" s="148"/>
      <c r="Y51" s="148"/>
      <c r="Z51" s="148"/>
      <c r="AA51" s="148"/>
      <c r="AB51" s="148"/>
      <c r="AC51" s="151"/>
      <c r="AD51" s="151"/>
      <c r="AE51" s="148"/>
      <c r="AF51" s="151"/>
      <c r="AG51" s="151"/>
      <c r="AH51" s="148"/>
      <c r="AI51" s="148"/>
      <c r="AJ51" s="148"/>
      <c r="AK51" s="148"/>
      <c r="AL51" s="148"/>
      <c r="AM51" s="148"/>
      <c r="AQ51" s="126"/>
      <c r="AR51" s="126"/>
      <c r="AS51" s="126"/>
      <c r="AT51" s="126"/>
      <c r="BA51" s="113"/>
      <c r="BC51" s="114"/>
      <c r="BS51" s="4"/>
      <c r="BT51" s="5"/>
      <c r="BU51" s="5"/>
      <c r="BV51" s="6"/>
    </row>
    <row r="52" spans="2:74" ht="16.5" thickTop="1">
      <c r="B52" s="152" t="s">
        <v>121</v>
      </c>
      <c r="C52" s="430" t="s">
        <v>122</v>
      </c>
      <c r="D52" s="431"/>
      <c r="E52" s="431"/>
      <c r="F52" s="431"/>
      <c r="G52" s="431"/>
      <c r="H52" s="431"/>
      <c r="I52" s="431"/>
      <c r="J52" s="431"/>
      <c r="K52" s="431"/>
      <c r="L52" s="431"/>
      <c r="M52" s="431"/>
      <c r="N52" s="431"/>
      <c r="O52" s="431"/>
      <c r="P52" s="431"/>
      <c r="Q52" s="431"/>
      <c r="R52" s="431"/>
      <c r="S52" s="431"/>
      <c r="T52" s="431"/>
      <c r="U52" s="431"/>
      <c r="V52" s="431"/>
      <c r="W52" s="431"/>
      <c r="X52" s="431"/>
      <c r="Y52" s="431"/>
      <c r="Z52" s="431"/>
      <c r="AA52" s="431"/>
      <c r="AB52" s="431"/>
      <c r="AC52" s="431"/>
      <c r="AD52" s="431"/>
      <c r="AE52" s="432"/>
      <c r="AF52" s="151"/>
      <c r="AG52" s="151"/>
      <c r="AH52" s="148"/>
      <c r="AI52" s="148"/>
      <c r="AJ52" s="148"/>
      <c r="AK52" s="148"/>
      <c r="AL52" s="148"/>
      <c r="AM52" s="148"/>
      <c r="AQ52" s="126"/>
      <c r="AR52" s="126"/>
      <c r="AS52" s="126"/>
      <c r="AT52" s="126"/>
      <c r="BA52" s="113"/>
      <c r="BS52" s="4"/>
      <c r="BT52" s="5"/>
      <c r="BU52" s="5"/>
      <c r="BV52" s="6"/>
    </row>
    <row r="53" spans="2:74" ht="15.75">
      <c r="B53" s="153">
        <v>42736</v>
      </c>
      <c r="C53" s="416" t="s">
        <v>123</v>
      </c>
      <c r="D53" s="417"/>
      <c r="E53" s="417"/>
      <c r="F53" s="417"/>
      <c r="G53" s="417"/>
      <c r="H53" s="417"/>
      <c r="I53" s="417"/>
      <c r="J53" s="417"/>
      <c r="K53" s="417"/>
      <c r="L53" s="417"/>
      <c r="M53" s="417"/>
      <c r="N53" s="417"/>
      <c r="O53" s="417"/>
      <c r="P53" s="417"/>
      <c r="Q53" s="417"/>
      <c r="R53" s="417"/>
      <c r="S53" s="417"/>
      <c r="T53" s="417"/>
      <c r="U53" s="417"/>
      <c r="V53" s="417"/>
      <c r="W53" s="417"/>
      <c r="X53" s="417"/>
      <c r="Y53" s="417"/>
      <c r="Z53" s="417"/>
      <c r="AA53" s="417"/>
      <c r="AB53" s="417"/>
      <c r="AC53" s="417"/>
      <c r="AD53" s="417"/>
      <c r="AE53" s="418"/>
      <c r="AF53" s="151"/>
      <c r="AG53" s="151"/>
      <c r="AH53" s="148"/>
      <c r="AI53" s="148"/>
      <c r="AJ53" s="148"/>
      <c r="AK53" s="148"/>
      <c r="AL53" s="148"/>
      <c r="AM53" s="148"/>
      <c r="AQ53" s="126"/>
      <c r="AR53" s="126"/>
      <c r="AS53" s="126"/>
      <c r="AT53" s="126"/>
      <c r="BA53" s="113"/>
      <c r="BS53" s="4"/>
      <c r="BT53" s="5"/>
      <c r="BU53" s="5"/>
      <c r="BV53" s="6"/>
    </row>
    <row r="54" spans="2:74" ht="15.75">
      <c r="B54" s="153">
        <v>42737</v>
      </c>
      <c r="C54" s="416" t="s">
        <v>123</v>
      </c>
      <c r="D54" s="417"/>
      <c r="E54" s="417"/>
      <c r="F54" s="417"/>
      <c r="G54" s="417"/>
      <c r="H54" s="417"/>
      <c r="I54" s="417"/>
      <c r="J54" s="417"/>
      <c r="K54" s="417"/>
      <c r="L54" s="417"/>
      <c r="M54" s="417"/>
      <c r="N54" s="417"/>
      <c r="O54" s="417"/>
      <c r="P54" s="417"/>
      <c r="Q54" s="417"/>
      <c r="R54" s="417"/>
      <c r="S54" s="417"/>
      <c r="T54" s="417"/>
      <c r="U54" s="417"/>
      <c r="V54" s="417"/>
      <c r="W54" s="417"/>
      <c r="X54" s="417"/>
      <c r="Y54" s="417"/>
      <c r="Z54" s="417"/>
      <c r="AA54" s="417"/>
      <c r="AB54" s="417"/>
      <c r="AC54" s="417"/>
      <c r="AD54" s="417"/>
      <c r="AE54" s="418"/>
      <c r="AF54" s="151"/>
      <c r="AG54" s="151"/>
      <c r="AH54" s="148"/>
      <c r="AI54" s="148"/>
      <c r="AJ54" s="148"/>
      <c r="AK54" s="148"/>
      <c r="AL54" s="148"/>
      <c r="AM54" s="148"/>
      <c r="AQ54" s="126"/>
      <c r="AR54" s="126"/>
      <c r="AS54" s="126"/>
      <c r="AT54" s="126"/>
      <c r="BA54" s="113"/>
      <c r="BS54" s="4"/>
      <c r="BT54" s="5"/>
      <c r="BU54" s="5"/>
      <c r="BV54" s="6"/>
    </row>
    <row r="55" spans="2:74" ht="15.75">
      <c r="B55" s="153">
        <v>42738</v>
      </c>
      <c r="C55" s="416" t="s">
        <v>123</v>
      </c>
      <c r="D55" s="417"/>
      <c r="E55" s="417"/>
      <c r="F55" s="417"/>
      <c r="G55" s="417"/>
      <c r="H55" s="417"/>
      <c r="I55" s="417"/>
      <c r="J55" s="417"/>
      <c r="K55" s="417"/>
      <c r="L55" s="417"/>
      <c r="M55" s="417"/>
      <c r="N55" s="417"/>
      <c r="O55" s="417"/>
      <c r="P55" s="417"/>
      <c r="Q55" s="417"/>
      <c r="R55" s="417"/>
      <c r="S55" s="417"/>
      <c r="T55" s="417"/>
      <c r="U55" s="417"/>
      <c r="V55" s="417"/>
      <c r="W55" s="417"/>
      <c r="X55" s="417"/>
      <c r="Y55" s="417"/>
      <c r="Z55" s="417"/>
      <c r="AA55" s="417"/>
      <c r="AB55" s="417"/>
      <c r="AC55" s="417"/>
      <c r="AD55" s="417"/>
      <c r="AE55" s="418"/>
      <c r="AF55" s="151"/>
      <c r="AG55" s="151"/>
      <c r="AH55" s="148"/>
      <c r="AI55" s="148"/>
      <c r="AJ55" s="148"/>
      <c r="AK55" s="148"/>
      <c r="AL55" s="148"/>
      <c r="AM55" s="148"/>
      <c r="AQ55" s="126"/>
      <c r="AR55" s="126"/>
      <c r="AS55" s="126"/>
      <c r="AT55" s="126"/>
      <c r="BA55" s="113"/>
      <c r="BS55" s="4"/>
      <c r="BT55" s="5"/>
      <c r="BU55" s="5"/>
      <c r="BV55" s="6"/>
    </row>
    <row r="56" spans="2:74" ht="15.75">
      <c r="B56" s="153">
        <v>42739</v>
      </c>
      <c r="C56" s="416" t="s">
        <v>123</v>
      </c>
      <c r="D56" s="417"/>
      <c r="E56" s="417"/>
      <c r="F56" s="417"/>
      <c r="G56" s="417"/>
      <c r="H56" s="417"/>
      <c r="I56" s="417"/>
      <c r="J56" s="417"/>
      <c r="K56" s="417"/>
      <c r="L56" s="417"/>
      <c r="M56" s="417"/>
      <c r="N56" s="417"/>
      <c r="O56" s="417"/>
      <c r="P56" s="417"/>
      <c r="Q56" s="417"/>
      <c r="R56" s="417"/>
      <c r="S56" s="417"/>
      <c r="T56" s="417"/>
      <c r="U56" s="417"/>
      <c r="V56" s="417"/>
      <c r="W56" s="417"/>
      <c r="X56" s="417"/>
      <c r="Y56" s="417"/>
      <c r="Z56" s="417"/>
      <c r="AA56" s="417"/>
      <c r="AB56" s="417"/>
      <c r="AC56" s="417"/>
      <c r="AD56" s="417"/>
      <c r="AE56" s="418"/>
      <c r="AF56" s="151"/>
      <c r="AG56" s="151"/>
      <c r="AH56" s="148"/>
      <c r="AI56" s="148"/>
      <c r="AJ56" s="148"/>
      <c r="AK56" s="148"/>
      <c r="AL56" s="148"/>
      <c r="AM56" s="148"/>
      <c r="AQ56" s="126"/>
      <c r="AR56" s="126"/>
      <c r="AS56" s="126"/>
      <c r="AT56" s="126"/>
      <c r="BA56" s="113"/>
      <c r="BS56" s="4"/>
      <c r="BT56" s="5"/>
      <c r="BU56" s="5"/>
      <c r="BV56" s="6"/>
    </row>
    <row r="57" spans="2:74" ht="15.75">
      <c r="B57" s="153">
        <v>42740</v>
      </c>
      <c r="C57" s="416" t="s">
        <v>123</v>
      </c>
      <c r="D57" s="417"/>
      <c r="E57" s="417"/>
      <c r="F57" s="417"/>
      <c r="G57" s="417"/>
      <c r="H57" s="417"/>
      <c r="I57" s="417"/>
      <c r="J57" s="417"/>
      <c r="K57" s="417"/>
      <c r="L57" s="417"/>
      <c r="M57" s="417"/>
      <c r="N57" s="417"/>
      <c r="O57" s="417"/>
      <c r="P57" s="417"/>
      <c r="Q57" s="417"/>
      <c r="R57" s="417"/>
      <c r="S57" s="417"/>
      <c r="T57" s="417"/>
      <c r="U57" s="417"/>
      <c r="V57" s="417"/>
      <c r="W57" s="417"/>
      <c r="X57" s="417"/>
      <c r="Y57" s="417"/>
      <c r="Z57" s="417"/>
      <c r="AA57" s="417"/>
      <c r="AB57" s="417"/>
      <c r="AC57" s="417"/>
      <c r="AD57" s="417"/>
      <c r="AE57" s="418"/>
      <c r="AF57" s="151"/>
      <c r="AG57" s="151"/>
      <c r="AH57" s="148"/>
      <c r="AI57" s="148"/>
      <c r="AJ57" s="148"/>
      <c r="AK57" s="148"/>
      <c r="AL57" s="148"/>
      <c r="AM57" s="148"/>
      <c r="AQ57" s="126"/>
      <c r="AR57" s="126"/>
      <c r="AS57" s="126"/>
      <c r="AT57" s="126"/>
      <c r="BA57" s="113"/>
      <c r="BS57" s="4"/>
      <c r="BT57" s="5"/>
      <c r="BU57" s="5"/>
      <c r="BV57" s="6"/>
    </row>
    <row r="58" spans="2:74" ht="15.75">
      <c r="B58" s="153">
        <v>42741</v>
      </c>
      <c r="C58" s="416" t="s">
        <v>123</v>
      </c>
      <c r="D58" s="417"/>
      <c r="E58" s="417"/>
      <c r="F58" s="417"/>
      <c r="G58" s="417"/>
      <c r="H58" s="417"/>
      <c r="I58" s="417"/>
      <c r="J58" s="417"/>
      <c r="K58" s="417"/>
      <c r="L58" s="417"/>
      <c r="M58" s="417"/>
      <c r="N58" s="417"/>
      <c r="O58" s="417"/>
      <c r="P58" s="417"/>
      <c r="Q58" s="417"/>
      <c r="R58" s="417"/>
      <c r="S58" s="417"/>
      <c r="T58" s="417"/>
      <c r="U58" s="417"/>
      <c r="V58" s="417"/>
      <c r="W58" s="417"/>
      <c r="X58" s="417"/>
      <c r="Y58" s="417"/>
      <c r="Z58" s="417"/>
      <c r="AA58" s="417"/>
      <c r="AB58" s="417"/>
      <c r="AC58" s="417"/>
      <c r="AD58" s="417"/>
      <c r="AE58" s="418"/>
      <c r="AF58" s="151"/>
      <c r="AG58" s="151"/>
      <c r="AH58" s="148"/>
      <c r="AI58" s="148"/>
      <c r="AJ58" s="148"/>
      <c r="AK58" s="148"/>
      <c r="AL58" s="148"/>
      <c r="AM58" s="148"/>
      <c r="AQ58" s="126"/>
      <c r="AR58" s="126"/>
      <c r="AS58" s="126"/>
      <c r="AT58" s="126"/>
      <c r="BA58" s="113"/>
      <c r="BS58" s="4"/>
      <c r="BT58" s="5"/>
      <c r="BU58" s="5"/>
      <c r="BV58" s="6"/>
    </row>
    <row r="59" spans="2:74" ht="15.75">
      <c r="B59" s="153">
        <v>42742</v>
      </c>
      <c r="C59" s="416" t="s">
        <v>123</v>
      </c>
      <c r="D59" s="417"/>
      <c r="E59" s="417"/>
      <c r="F59" s="417"/>
      <c r="G59" s="417"/>
      <c r="H59" s="417"/>
      <c r="I59" s="417"/>
      <c r="J59" s="417"/>
      <c r="K59" s="417"/>
      <c r="L59" s="417"/>
      <c r="M59" s="417"/>
      <c r="N59" s="417"/>
      <c r="O59" s="417"/>
      <c r="P59" s="417"/>
      <c r="Q59" s="417"/>
      <c r="R59" s="417"/>
      <c r="S59" s="417"/>
      <c r="T59" s="417"/>
      <c r="U59" s="417"/>
      <c r="V59" s="417"/>
      <c r="W59" s="417"/>
      <c r="X59" s="417"/>
      <c r="Y59" s="417"/>
      <c r="Z59" s="417"/>
      <c r="AA59" s="417"/>
      <c r="AB59" s="417"/>
      <c r="AC59" s="417"/>
      <c r="AD59" s="417"/>
      <c r="AE59" s="418"/>
      <c r="AF59" s="151"/>
      <c r="AG59" s="151"/>
      <c r="AH59" s="148"/>
      <c r="AI59" s="148"/>
      <c r="AJ59" s="148"/>
      <c r="AK59" s="148"/>
      <c r="AL59" s="148"/>
      <c r="AM59" s="148"/>
      <c r="AQ59" s="126"/>
      <c r="AR59" s="126"/>
      <c r="AS59" s="126"/>
      <c r="AT59" s="126"/>
      <c r="BA59" s="113"/>
      <c r="BS59" s="4"/>
      <c r="BT59" s="5"/>
      <c r="BU59" s="5"/>
      <c r="BV59" s="6"/>
    </row>
    <row r="60" spans="2:74" ht="15.75">
      <c r="B60" s="153">
        <v>42743</v>
      </c>
      <c r="C60" s="416" t="s">
        <v>123</v>
      </c>
      <c r="D60" s="417"/>
      <c r="E60" s="417"/>
      <c r="F60" s="417"/>
      <c r="G60" s="417"/>
      <c r="H60" s="417"/>
      <c r="I60" s="417"/>
      <c r="J60" s="417"/>
      <c r="K60" s="417"/>
      <c r="L60" s="417"/>
      <c r="M60" s="417"/>
      <c r="N60" s="417"/>
      <c r="O60" s="417"/>
      <c r="P60" s="417"/>
      <c r="Q60" s="417"/>
      <c r="R60" s="417"/>
      <c r="S60" s="417"/>
      <c r="T60" s="417"/>
      <c r="U60" s="417"/>
      <c r="V60" s="417"/>
      <c r="W60" s="417"/>
      <c r="X60" s="417"/>
      <c r="Y60" s="417"/>
      <c r="Z60" s="417"/>
      <c r="AA60" s="417"/>
      <c r="AB60" s="417"/>
      <c r="AC60" s="417"/>
      <c r="AD60" s="417"/>
      <c r="AE60" s="418"/>
      <c r="AF60" s="151"/>
      <c r="AG60" s="151"/>
      <c r="AH60" s="148"/>
      <c r="AI60" s="148"/>
      <c r="AJ60" s="148"/>
      <c r="AK60" s="148"/>
      <c r="AL60" s="148"/>
      <c r="AM60" s="148"/>
      <c r="AQ60" s="126"/>
      <c r="AR60" s="126"/>
      <c r="AS60" s="126"/>
      <c r="AT60" s="126"/>
      <c r="BA60" s="113"/>
      <c r="BS60" s="4"/>
      <c r="BT60" s="5"/>
      <c r="BU60" s="5"/>
      <c r="BV60" s="6"/>
    </row>
    <row r="61" spans="2:74" ht="15.75">
      <c r="B61" s="153">
        <v>42744</v>
      </c>
      <c r="C61" s="416" t="s">
        <v>123</v>
      </c>
      <c r="D61" s="417"/>
      <c r="E61" s="417"/>
      <c r="F61" s="417"/>
      <c r="G61" s="417"/>
      <c r="H61" s="417"/>
      <c r="I61" s="417"/>
      <c r="J61" s="417"/>
      <c r="K61" s="417"/>
      <c r="L61" s="417"/>
      <c r="M61" s="417"/>
      <c r="N61" s="417"/>
      <c r="O61" s="417"/>
      <c r="P61" s="417"/>
      <c r="Q61" s="417"/>
      <c r="R61" s="417"/>
      <c r="S61" s="417"/>
      <c r="T61" s="417"/>
      <c r="U61" s="417"/>
      <c r="V61" s="417"/>
      <c r="W61" s="417"/>
      <c r="X61" s="417"/>
      <c r="Y61" s="417"/>
      <c r="Z61" s="417"/>
      <c r="AA61" s="417"/>
      <c r="AB61" s="417"/>
      <c r="AC61" s="417"/>
      <c r="AD61" s="417"/>
      <c r="AE61" s="418"/>
      <c r="AF61" s="151"/>
      <c r="AG61" s="151"/>
      <c r="AH61" s="148"/>
      <c r="AI61" s="148"/>
      <c r="AJ61" s="148"/>
      <c r="AK61" s="148"/>
      <c r="AL61" s="148"/>
      <c r="AM61" s="148"/>
      <c r="AQ61" s="126"/>
      <c r="AR61" s="126"/>
      <c r="AS61" s="126"/>
      <c r="AT61" s="126"/>
      <c r="BA61" s="113"/>
      <c r="BS61" s="4"/>
      <c r="BT61" s="5"/>
      <c r="BU61" s="5"/>
      <c r="BV61" s="6"/>
    </row>
    <row r="62" spans="2:74" ht="15.75">
      <c r="B62" s="153">
        <v>42745</v>
      </c>
      <c r="C62" s="416" t="s">
        <v>136</v>
      </c>
      <c r="D62" s="417"/>
      <c r="E62" s="417"/>
      <c r="F62" s="417"/>
      <c r="G62" s="417"/>
      <c r="H62" s="417"/>
      <c r="I62" s="417"/>
      <c r="J62" s="417"/>
      <c r="K62" s="417"/>
      <c r="L62" s="417"/>
      <c r="M62" s="417"/>
      <c r="N62" s="417"/>
      <c r="O62" s="417"/>
      <c r="P62" s="417"/>
      <c r="Q62" s="417"/>
      <c r="R62" s="417"/>
      <c r="S62" s="417"/>
      <c r="T62" s="417"/>
      <c r="U62" s="417"/>
      <c r="V62" s="417"/>
      <c r="W62" s="417"/>
      <c r="X62" s="417"/>
      <c r="Y62" s="417"/>
      <c r="Z62" s="417"/>
      <c r="AA62" s="417"/>
      <c r="AB62" s="417"/>
      <c r="AC62" s="417"/>
      <c r="AD62" s="417"/>
      <c r="AE62" s="418"/>
      <c r="AF62" s="151"/>
      <c r="AG62" s="151"/>
      <c r="AH62" s="148"/>
      <c r="AI62" s="148"/>
      <c r="AJ62" s="148"/>
      <c r="AK62" s="148"/>
      <c r="AL62" s="148"/>
      <c r="AM62" s="148"/>
      <c r="AQ62" s="126"/>
      <c r="AR62" s="126"/>
      <c r="AS62" s="126"/>
      <c r="AT62" s="126"/>
      <c r="BA62" s="113"/>
      <c r="BS62" s="4"/>
      <c r="BT62" s="5"/>
      <c r="BU62" s="5"/>
      <c r="BV62" s="6"/>
    </row>
    <row r="63" spans="2:74" ht="15.75">
      <c r="B63" s="153">
        <v>42746</v>
      </c>
      <c r="C63" s="416" t="s">
        <v>131</v>
      </c>
      <c r="D63" s="417"/>
      <c r="E63" s="417"/>
      <c r="F63" s="417"/>
      <c r="G63" s="417"/>
      <c r="H63" s="417"/>
      <c r="I63" s="417"/>
      <c r="J63" s="417"/>
      <c r="K63" s="417"/>
      <c r="L63" s="417"/>
      <c r="M63" s="417"/>
      <c r="N63" s="417"/>
      <c r="O63" s="417"/>
      <c r="P63" s="417"/>
      <c r="Q63" s="417"/>
      <c r="R63" s="417"/>
      <c r="S63" s="417"/>
      <c r="T63" s="417"/>
      <c r="U63" s="417"/>
      <c r="V63" s="417"/>
      <c r="W63" s="417"/>
      <c r="X63" s="417"/>
      <c r="Y63" s="417"/>
      <c r="Z63" s="417"/>
      <c r="AA63" s="417"/>
      <c r="AB63" s="417"/>
      <c r="AC63" s="417"/>
      <c r="AD63" s="417"/>
      <c r="AE63" s="418"/>
      <c r="AF63" s="151"/>
      <c r="AG63" s="151"/>
      <c r="AH63" s="148"/>
      <c r="AI63" s="148"/>
      <c r="AJ63" s="148"/>
      <c r="AK63" s="148"/>
      <c r="AL63" s="148"/>
      <c r="AM63" s="148"/>
      <c r="AQ63" s="126"/>
      <c r="AR63" s="126"/>
      <c r="AS63" s="126"/>
      <c r="AT63" s="126"/>
      <c r="BA63" s="113"/>
      <c r="BS63" s="4"/>
      <c r="BT63" s="5"/>
      <c r="BU63" s="5"/>
      <c r="BV63" s="6"/>
    </row>
    <row r="64" spans="2:74" ht="15.75">
      <c r="B64" s="153">
        <v>42747</v>
      </c>
      <c r="C64" s="416" t="s">
        <v>132</v>
      </c>
      <c r="D64" s="417"/>
      <c r="E64" s="417"/>
      <c r="F64" s="417"/>
      <c r="G64" s="417"/>
      <c r="H64" s="417"/>
      <c r="I64" s="417"/>
      <c r="J64" s="417"/>
      <c r="K64" s="417"/>
      <c r="L64" s="417"/>
      <c r="M64" s="417"/>
      <c r="N64" s="417"/>
      <c r="O64" s="417"/>
      <c r="P64" s="417"/>
      <c r="Q64" s="417"/>
      <c r="R64" s="417"/>
      <c r="S64" s="417"/>
      <c r="T64" s="417"/>
      <c r="U64" s="417"/>
      <c r="V64" s="417"/>
      <c r="W64" s="417"/>
      <c r="X64" s="417"/>
      <c r="Y64" s="417"/>
      <c r="Z64" s="417"/>
      <c r="AA64" s="417"/>
      <c r="AB64" s="417"/>
      <c r="AC64" s="417"/>
      <c r="AD64" s="417"/>
      <c r="AE64" s="418"/>
      <c r="AF64" s="151"/>
      <c r="AG64" s="151"/>
      <c r="AH64" s="148"/>
      <c r="AI64" s="148"/>
      <c r="AJ64" s="148"/>
      <c r="AK64" s="148"/>
      <c r="AL64" s="148"/>
      <c r="AM64" s="148"/>
      <c r="AQ64" s="126"/>
      <c r="AR64" s="126"/>
      <c r="AS64" s="126"/>
      <c r="AT64" s="126"/>
      <c r="BA64" s="113"/>
      <c r="BS64" s="4"/>
      <c r="BT64" s="5"/>
      <c r="BU64" s="5"/>
      <c r="BV64" s="6"/>
    </row>
    <row r="65" spans="2:74" ht="15.75">
      <c r="B65" s="153">
        <v>42748</v>
      </c>
      <c r="C65" s="416" t="s">
        <v>123</v>
      </c>
      <c r="D65" s="417"/>
      <c r="E65" s="417"/>
      <c r="F65" s="417"/>
      <c r="G65" s="417"/>
      <c r="H65" s="417"/>
      <c r="I65" s="417"/>
      <c r="J65" s="417"/>
      <c r="K65" s="417"/>
      <c r="L65" s="417"/>
      <c r="M65" s="417"/>
      <c r="N65" s="417"/>
      <c r="O65" s="417"/>
      <c r="P65" s="417"/>
      <c r="Q65" s="417"/>
      <c r="R65" s="417"/>
      <c r="S65" s="417"/>
      <c r="T65" s="417"/>
      <c r="U65" s="417"/>
      <c r="V65" s="417"/>
      <c r="W65" s="417"/>
      <c r="X65" s="417"/>
      <c r="Y65" s="417"/>
      <c r="Z65" s="417"/>
      <c r="AA65" s="417"/>
      <c r="AB65" s="417"/>
      <c r="AC65" s="417"/>
      <c r="AD65" s="417"/>
      <c r="AE65" s="418"/>
      <c r="AF65" s="151"/>
      <c r="AG65" s="151"/>
      <c r="AH65" s="148"/>
      <c r="AI65" s="148"/>
      <c r="AJ65" s="148"/>
      <c r="AK65" s="148"/>
      <c r="AL65" s="148"/>
      <c r="AM65" s="148"/>
      <c r="AQ65" s="126"/>
      <c r="AR65" s="126"/>
      <c r="AS65" s="126"/>
      <c r="AT65" s="126"/>
      <c r="BA65" s="113"/>
      <c r="BS65" s="4"/>
      <c r="BT65" s="5"/>
      <c r="BU65" s="5"/>
      <c r="BV65" s="6"/>
    </row>
    <row r="66" spans="2:74" ht="15.75">
      <c r="B66" s="153">
        <v>42749</v>
      </c>
      <c r="C66" s="416" t="s">
        <v>123</v>
      </c>
      <c r="D66" s="417"/>
      <c r="E66" s="417"/>
      <c r="F66" s="417"/>
      <c r="G66" s="417"/>
      <c r="H66" s="417"/>
      <c r="I66" s="417"/>
      <c r="J66" s="417"/>
      <c r="K66" s="417"/>
      <c r="L66" s="417"/>
      <c r="M66" s="417"/>
      <c r="N66" s="417"/>
      <c r="O66" s="417"/>
      <c r="P66" s="417"/>
      <c r="Q66" s="417"/>
      <c r="R66" s="417"/>
      <c r="S66" s="417"/>
      <c r="T66" s="417"/>
      <c r="U66" s="417"/>
      <c r="V66" s="417"/>
      <c r="W66" s="417"/>
      <c r="X66" s="417"/>
      <c r="Y66" s="417"/>
      <c r="Z66" s="417"/>
      <c r="AA66" s="417"/>
      <c r="AB66" s="417"/>
      <c r="AC66" s="417"/>
      <c r="AD66" s="417"/>
      <c r="AE66" s="418"/>
      <c r="AF66" s="151"/>
      <c r="AG66" s="151"/>
      <c r="AH66" s="148"/>
      <c r="AI66" s="148"/>
      <c r="AJ66" s="148"/>
      <c r="AK66" s="148"/>
      <c r="AL66" s="148"/>
      <c r="AM66" s="148"/>
      <c r="AQ66" s="126"/>
      <c r="AR66" s="126"/>
      <c r="AS66" s="126"/>
      <c r="AT66" s="126"/>
      <c r="BA66" s="113"/>
      <c r="BS66" s="4"/>
      <c r="BT66" s="5"/>
      <c r="BU66" s="5"/>
      <c r="BV66" s="6"/>
    </row>
    <row r="67" spans="2:74" ht="15.75">
      <c r="B67" s="153">
        <v>42750</v>
      </c>
      <c r="C67" s="416" t="s">
        <v>123</v>
      </c>
      <c r="D67" s="417"/>
      <c r="E67" s="417"/>
      <c r="F67" s="417"/>
      <c r="G67" s="417"/>
      <c r="H67" s="417"/>
      <c r="I67" s="417"/>
      <c r="J67" s="417"/>
      <c r="K67" s="417"/>
      <c r="L67" s="417"/>
      <c r="M67" s="417"/>
      <c r="N67" s="417"/>
      <c r="O67" s="417"/>
      <c r="P67" s="417"/>
      <c r="Q67" s="417"/>
      <c r="R67" s="417"/>
      <c r="S67" s="417"/>
      <c r="T67" s="417"/>
      <c r="U67" s="417"/>
      <c r="V67" s="417"/>
      <c r="W67" s="417"/>
      <c r="X67" s="417"/>
      <c r="Y67" s="417"/>
      <c r="Z67" s="417"/>
      <c r="AA67" s="417"/>
      <c r="AB67" s="417"/>
      <c r="AC67" s="417"/>
      <c r="AD67" s="417"/>
      <c r="AE67" s="418"/>
      <c r="AF67" s="151"/>
      <c r="AG67" s="151"/>
      <c r="AH67" s="148"/>
      <c r="AI67" s="148"/>
      <c r="AJ67" s="148"/>
      <c r="AK67" s="148"/>
      <c r="AL67" s="148"/>
      <c r="AM67" s="148"/>
      <c r="AQ67" s="126"/>
      <c r="AR67" s="126"/>
      <c r="AS67" s="126"/>
      <c r="AT67" s="126"/>
      <c r="BA67" s="113"/>
      <c r="BS67" s="4"/>
      <c r="BT67" s="5"/>
      <c r="BU67" s="5"/>
      <c r="BV67" s="6"/>
    </row>
    <row r="68" spans="2:74" ht="15.75">
      <c r="B68" s="153">
        <v>42751</v>
      </c>
      <c r="C68" s="416" t="s">
        <v>133</v>
      </c>
      <c r="D68" s="417"/>
      <c r="E68" s="417"/>
      <c r="F68" s="417"/>
      <c r="G68" s="417"/>
      <c r="H68" s="417"/>
      <c r="I68" s="417"/>
      <c r="J68" s="417"/>
      <c r="K68" s="417"/>
      <c r="L68" s="417"/>
      <c r="M68" s="417"/>
      <c r="N68" s="417"/>
      <c r="O68" s="417"/>
      <c r="P68" s="417"/>
      <c r="Q68" s="417"/>
      <c r="R68" s="417"/>
      <c r="S68" s="417"/>
      <c r="T68" s="417"/>
      <c r="U68" s="417"/>
      <c r="V68" s="417"/>
      <c r="W68" s="417"/>
      <c r="X68" s="417"/>
      <c r="Y68" s="417"/>
      <c r="Z68" s="417"/>
      <c r="AA68" s="417"/>
      <c r="AB68" s="417"/>
      <c r="AC68" s="417"/>
      <c r="AD68" s="417"/>
      <c r="AE68" s="418"/>
      <c r="AF68" s="151"/>
      <c r="AG68" s="151"/>
      <c r="AH68" s="148"/>
      <c r="AI68" s="148"/>
      <c r="AJ68" s="148"/>
      <c r="AK68" s="148"/>
      <c r="AL68" s="148"/>
      <c r="AM68" s="148"/>
      <c r="AQ68" s="126"/>
      <c r="AR68" s="126"/>
      <c r="AS68" s="126"/>
      <c r="AT68" s="126"/>
      <c r="BA68" s="113"/>
      <c r="BS68" s="4"/>
      <c r="BT68" s="5"/>
      <c r="BU68" s="5"/>
      <c r="BV68" s="6"/>
    </row>
    <row r="69" spans="2:74" ht="15.75">
      <c r="B69" s="153">
        <v>42752</v>
      </c>
      <c r="C69" s="416" t="s">
        <v>123</v>
      </c>
      <c r="D69" s="417"/>
      <c r="E69" s="417"/>
      <c r="F69" s="417"/>
      <c r="G69" s="417"/>
      <c r="H69" s="417"/>
      <c r="I69" s="417"/>
      <c r="J69" s="417"/>
      <c r="K69" s="417"/>
      <c r="L69" s="417"/>
      <c r="M69" s="417"/>
      <c r="N69" s="417"/>
      <c r="O69" s="417"/>
      <c r="P69" s="417"/>
      <c r="Q69" s="417"/>
      <c r="R69" s="417"/>
      <c r="S69" s="417"/>
      <c r="T69" s="417"/>
      <c r="U69" s="417"/>
      <c r="V69" s="417"/>
      <c r="W69" s="417"/>
      <c r="X69" s="417"/>
      <c r="Y69" s="417"/>
      <c r="Z69" s="417"/>
      <c r="AA69" s="417"/>
      <c r="AB69" s="417"/>
      <c r="AC69" s="417"/>
      <c r="AD69" s="417"/>
      <c r="AE69" s="418"/>
      <c r="AF69" s="151"/>
      <c r="AG69" s="151"/>
      <c r="AH69" s="148"/>
      <c r="AI69" s="148"/>
      <c r="AJ69" s="148"/>
      <c r="AK69" s="148"/>
      <c r="AL69" s="148"/>
      <c r="AM69" s="148"/>
      <c r="AQ69" s="126"/>
      <c r="AR69" s="126"/>
      <c r="AS69" s="126"/>
      <c r="AT69" s="126"/>
      <c r="BA69" s="113"/>
      <c r="BS69" s="4"/>
      <c r="BT69" s="5"/>
      <c r="BU69" s="5"/>
      <c r="BV69" s="6"/>
    </row>
    <row r="70" spans="2:74" ht="15.75">
      <c r="B70" s="153">
        <v>42753</v>
      </c>
      <c r="C70" s="416" t="s">
        <v>123</v>
      </c>
      <c r="D70" s="417"/>
      <c r="E70" s="417"/>
      <c r="F70" s="417"/>
      <c r="G70" s="417"/>
      <c r="H70" s="417"/>
      <c r="I70" s="417"/>
      <c r="J70" s="417"/>
      <c r="K70" s="417"/>
      <c r="L70" s="417"/>
      <c r="M70" s="417"/>
      <c r="N70" s="417"/>
      <c r="O70" s="417"/>
      <c r="P70" s="417"/>
      <c r="Q70" s="417"/>
      <c r="R70" s="417"/>
      <c r="S70" s="417"/>
      <c r="T70" s="417"/>
      <c r="U70" s="417"/>
      <c r="V70" s="417"/>
      <c r="W70" s="417"/>
      <c r="X70" s="417"/>
      <c r="Y70" s="417"/>
      <c r="Z70" s="417"/>
      <c r="AA70" s="417"/>
      <c r="AB70" s="417"/>
      <c r="AC70" s="417"/>
      <c r="AD70" s="417"/>
      <c r="AE70" s="418"/>
      <c r="AF70" s="151"/>
      <c r="AG70" s="151"/>
      <c r="AH70" s="148"/>
      <c r="AI70" s="148"/>
      <c r="AJ70" s="148"/>
      <c r="AK70" s="148"/>
      <c r="AL70" s="148"/>
      <c r="AM70" s="148"/>
      <c r="AQ70" s="126"/>
      <c r="AR70" s="126"/>
      <c r="AS70" s="126"/>
      <c r="AT70" s="126"/>
      <c r="BA70" s="113"/>
      <c r="BS70" s="4"/>
      <c r="BT70" s="5"/>
      <c r="BU70" s="5"/>
      <c r="BV70" s="6"/>
    </row>
    <row r="71" spans="2:74" ht="15.75">
      <c r="B71" s="153">
        <v>42754</v>
      </c>
      <c r="C71" s="416" t="s">
        <v>134</v>
      </c>
      <c r="D71" s="417"/>
      <c r="E71" s="417"/>
      <c r="F71" s="417"/>
      <c r="G71" s="417"/>
      <c r="H71" s="417"/>
      <c r="I71" s="417"/>
      <c r="J71" s="417"/>
      <c r="K71" s="417"/>
      <c r="L71" s="417"/>
      <c r="M71" s="417"/>
      <c r="N71" s="417"/>
      <c r="O71" s="417"/>
      <c r="P71" s="417"/>
      <c r="Q71" s="417"/>
      <c r="R71" s="417"/>
      <c r="S71" s="417"/>
      <c r="T71" s="417"/>
      <c r="U71" s="417"/>
      <c r="V71" s="417"/>
      <c r="W71" s="417"/>
      <c r="X71" s="417"/>
      <c r="Y71" s="417"/>
      <c r="Z71" s="417"/>
      <c r="AA71" s="417"/>
      <c r="AB71" s="417"/>
      <c r="AC71" s="417"/>
      <c r="AD71" s="417"/>
      <c r="AE71" s="418"/>
      <c r="AF71" s="151"/>
      <c r="AG71" s="151"/>
      <c r="AH71" s="148"/>
      <c r="AI71" s="148"/>
      <c r="AJ71" s="148"/>
      <c r="AK71" s="148"/>
      <c r="AL71" s="148"/>
      <c r="AM71" s="148"/>
      <c r="AQ71" s="126"/>
      <c r="AR71" s="126"/>
      <c r="AS71" s="126"/>
      <c r="AT71" s="126"/>
      <c r="BA71" s="113"/>
      <c r="BS71" s="4"/>
      <c r="BT71" s="5"/>
      <c r="BU71" s="5"/>
      <c r="BV71" s="6"/>
    </row>
    <row r="72" spans="2:74" ht="15.75">
      <c r="B72" s="153">
        <v>42755</v>
      </c>
      <c r="C72" s="416" t="s">
        <v>135</v>
      </c>
      <c r="D72" s="417"/>
      <c r="E72" s="417"/>
      <c r="F72" s="417"/>
      <c r="G72" s="417"/>
      <c r="H72" s="417"/>
      <c r="I72" s="417"/>
      <c r="J72" s="417"/>
      <c r="K72" s="417"/>
      <c r="L72" s="417"/>
      <c r="M72" s="417"/>
      <c r="N72" s="417"/>
      <c r="O72" s="417"/>
      <c r="P72" s="417"/>
      <c r="Q72" s="417"/>
      <c r="R72" s="417"/>
      <c r="S72" s="417"/>
      <c r="T72" s="417"/>
      <c r="U72" s="417"/>
      <c r="V72" s="417"/>
      <c r="W72" s="417"/>
      <c r="X72" s="417"/>
      <c r="Y72" s="417"/>
      <c r="Z72" s="417"/>
      <c r="AA72" s="417"/>
      <c r="AB72" s="417"/>
      <c r="AC72" s="417"/>
      <c r="AD72" s="417"/>
      <c r="AE72" s="418"/>
      <c r="AF72" s="151"/>
      <c r="AG72" s="151"/>
      <c r="AH72" s="148"/>
      <c r="AI72" s="148"/>
      <c r="AJ72" s="148"/>
      <c r="AK72" s="148"/>
      <c r="AL72" s="148"/>
      <c r="AM72" s="148"/>
      <c r="AQ72" s="126"/>
      <c r="AR72" s="126"/>
      <c r="AS72" s="126"/>
      <c r="AT72" s="126"/>
      <c r="BA72" s="113"/>
      <c r="BS72" s="4"/>
      <c r="BT72" s="5"/>
      <c r="BU72" s="5"/>
      <c r="BV72" s="6"/>
    </row>
    <row r="73" spans="2:74" ht="15.75">
      <c r="B73" s="153">
        <v>42756</v>
      </c>
      <c r="C73" s="416" t="s">
        <v>137</v>
      </c>
      <c r="D73" s="417"/>
      <c r="E73" s="417"/>
      <c r="F73" s="417"/>
      <c r="G73" s="417"/>
      <c r="H73" s="417"/>
      <c r="I73" s="417"/>
      <c r="J73" s="417"/>
      <c r="K73" s="417"/>
      <c r="L73" s="417"/>
      <c r="M73" s="417"/>
      <c r="N73" s="417"/>
      <c r="O73" s="417"/>
      <c r="P73" s="417"/>
      <c r="Q73" s="417"/>
      <c r="R73" s="417"/>
      <c r="S73" s="417"/>
      <c r="T73" s="417"/>
      <c r="U73" s="417"/>
      <c r="V73" s="417"/>
      <c r="W73" s="417"/>
      <c r="X73" s="417"/>
      <c r="Y73" s="417"/>
      <c r="Z73" s="417"/>
      <c r="AA73" s="417"/>
      <c r="AB73" s="417"/>
      <c r="AC73" s="417"/>
      <c r="AD73" s="417"/>
      <c r="AE73" s="418"/>
      <c r="AF73" s="151"/>
      <c r="AG73" s="151"/>
      <c r="AH73" s="148"/>
      <c r="AI73" s="148"/>
      <c r="AJ73" s="148"/>
      <c r="AK73" s="148"/>
      <c r="AL73" s="148"/>
      <c r="AM73" s="148"/>
      <c r="AQ73" s="126"/>
      <c r="AR73" s="126"/>
      <c r="AS73" s="126"/>
      <c r="AT73" s="126"/>
      <c r="BA73" s="113"/>
      <c r="BS73" s="4"/>
      <c r="BT73" s="5"/>
      <c r="BU73" s="5"/>
      <c r="BV73" s="6"/>
    </row>
    <row r="74" spans="2:74" ht="15.75">
      <c r="B74" s="153">
        <v>42757</v>
      </c>
      <c r="C74" s="416" t="s">
        <v>123</v>
      </c>
      <c r="D74" s="417"/>
      <c r="E74" s="417"/>
      <c r="F74" s="417"/>
      <c r="G74" s="417"/>
      <c r="H74" s="417"/>
      <c r="I74" s="417"/>
      <c r="J74" s="417"/>
      <c r="K74" s="417"/>
      <c r="L74" s="417"/>
      <c r="M74" s="417"/>
      <c r="N74" s="417"/>
      <c r="O74" s="417"/>
      <c r="P74" s="417"/>
      <c r="Q74" s="417"/>
      <c r="R74" s="417"/>
      <c r="S74" s="417"/>
      <c r="T74" s="417"/>
      <c r="U74" s="417"/>
      <c r="V74" s="417"/>
      <c r="W74" s="417"/>
      <c r="X74" s="417"/>
      <c r="Y74" s="417"/>
      <c r="Z74" s="417"/>
      <c r="AA74" s="417"/>
      <c r="AB74" s="417"/>
      <c r="AC74" s="417"/>
      <c r="AD74" s="417"/>
      <c r="AE74" s="418"/>
      <c r="AF74" s="151"/>
      <c r="AG74" s="151"/>
      <c r="AH74" s="148"/>
      <c r="AI74" s="148"/>
      <c r="AJ74" s="148"/>
      <c r="AK74" s="148"/>
      <c r="AL74" s="148"/>
      <c r="AM74" s="148"/>
      <c r="AQ74" s="126"/>
      <c r="AR74" s="126"/>
      <c r="AS74" s="126"/>
      <c r="AT74" s="126"/>
      <c r="BA74" s="113"/>
      <c r="BS74" s="4"/>
      <c r="BT74" s="5"/>
      <c r="BU74" s="5"/>
      <c r="BV74" s="6"/>
    </row>
    <row r="75" spans="2:74" ht="15.75">
      <c r="B75" s="153">
        <v>42758</v>
      </c>
      <c r="C75" s="416" t="s">
        <v>123</v>
      </c>
      <c r="D75" s="417"/>
      <c r="E75" s="417"/>
      <c r="F75" s="417"/>
      <c r="G75" s="417"/>
      <c r="H75" s="417"/>
      <c r="I75" s="417"/>
      <c r="J75" s="417"/>
      <c r="K75" s="417"/>
      <c r="L75" s="417"/>
      <c r="M75" s="417"/>
      <c r="N75" s="417"/>
      <c r="O75" s="417"/>
      <c r="P75" s="417"/>
      <c r="Q75" s="417"/>
      <c r="R75" s="417"/>
      <c r="S75" s="417"/>
      <c r="T75" s="417"/>
      <c r="U75" s="417"/>
      <c r="V75" s="417"/>
      <c r="W75" s="417"/>
      <c r="X75" s="417"/>
      <c r="Y75" s="417"/>
      <c r="Z75" s="417"/>
      <c r="AA75" s="417"/>
      <c r="AB75" s="417"/>
      <c r="AC75" s="417"/>
      <c r="AD75" s="417"/>
      <c r="AE75" s="418"/>
      <c r="AF75" s="151"/>
      <c r="AG75" s="151"/>
      <c r="AH75" s="148"/>
      <c r="AI75" s="148"/>
      <c r="AJ75" s="148"/>
      <c r="AK75" s="148"/>
      <c r="AL75" s="148"/>
      <c r="AM75" s="148"/>
      <c r="AQ75" s="126"/>
      <c r="AR75" s="126"/>
      <c r="AS75" s="126"/>
      <c r="AT75" s="126"/>
      <c r="BA75" s="113"/>
      <c r="BS75" s="4"/>
      <c r="BT75" s="5"/>
      <c r="BU75" s="5"/>
      <c r="BV75" s="6"/>
    </row>
    <row r="76" spans="2:74" ht="15.75">
      <c r="B76" s="153">
        <v>42759</v>
      </c>
      <c r="C76" s="416" t="s">
        <v>138</v>
      </c>
      <c r="D76" s="417"/>
      <c r="E76" s="417"/>
      <c r="F76" s="417"/>
      <c r="G76" s="417"/>
      <c r="H76" s="417"/>
      <c r="I76" s="417"/>
      <c r="J76" s="417"/>
      <c r="K76" s="417"/>
      <c r="L76" s="417"/>
      <c r="M76" s="417"/>
      <c r="N76" s="417"/>
      <c r="O76" s="417"/>
      <c r="P76" s="417"/>
      <c r="Q76" s="417"/>
      <c r="R76" s="417"/>
      <c r="S76" s="417"/>
      <c r="T76" s="417"/>
      <c r="U76" s="417"/>
      <c r="V76" s="417"/>
      <c r="W76" s="417"/>
      <c r="X76" s="417"/>
      <c r="Y76" s="417"/>
      <c r="Z76" s="417"/>
      <c r="AA76" s="417"/>
      <c r="AB76" s="417"/>
      <c r="AC76" s="417"/>
      <c r="AD76" s="417"/>
      <c r="AE76" s="418"/>
      <c r="AF76" s="151"/>
      <c r="AG76" s="151"/>
      <c r="AH76" s="148"/>
      <c r="AI76" s="148"/>
      <c r="AJ76" s="148"/>
      <c r="AK76" s="148"/>
      <c r="AL76" s="148"/>
      <c r="AM76" s="148"/>
      <c r="AQ76" s="126"/>
      <c r="AR76" s="126"/>
      <c r="AS76" s="126"/>
      <c r="AT76" s="126"/>
      <c r="BA76" s="113"/>
      <c r="BS76" s="4"/>
      <c r="BT76" s="5"/>
      <c r="BU76" s="5"/>
      <c r="BV76" s="6"/>
    </row>
    <row r="77" spans="2:74" ht="15.75">
      <c r="B77" s="153">
        <v>42760</v>
      </c>
      <c r="C77" s="416" t="s">
        <v>123</v>
      </c>
      <c r="D77" s="417"/>
      <c r="E77" s="417"/>
      <c r="F77" s="417"/>
      <c r="G77" s="417"/>
      <c r="H77" s="417"/>
      <c r="I77" s="417"/>
      <c r="J77" s="417"/>
      <c r="K77" s="417"/>
      <c r="L77" s="417"/>
      <c r="M77" s="417"/>
      <c r="N77" s="417"/>
      <c r="O77" s="417"/>
      <c r="P77" s="417"/>
      <c r="Q77" s="417"/>
      <c r="R77" s="417"/>
      <c r="S77" s="417"/>
      <c r="T77" s="417"/>
      <c r="U77" s="417"/>
      <c r="V77" s="417"/>
      <c r="W77" s="417"/>
      <c r="X77" s="417"/>
      <c r="Y77" s="417"/>
      <c r="Z77" s="417"/>
      <c r="AA77" s="417"/>
      <c r="AB77" s="417"/>
      <c r="AC77" s="417"/>
      <c r="AD77" s="417"/>
      <c r="AE77" s="418"/>
      <c r="AF77" s="151"/>
      <c r="AG77" s="151"/>
      <c r="AH77" s="148"/>
      <c r="AI77" s="148"/>
      <c r="AJ77" s="148"/>
      <c r="AK77" s="148"/>
      <c r="AL77" s="148"/>
      <c r="AM77" s="148"/>
      <c r="AQ77" s="126"/>
      <c r="AR77" s="126"/>
      <c r="AS77" s="126"/>
      <c r="AT77" s="126"/>
      <c r="BA77" s="113"/>
      <c r="BS77" s="4"/>
      <c r="BT77" s="5"/>
      <c r="BU77" s="5"/>
      <c r="BV77" s="6"/>
    </row>
    <row r="78" spans="2:74" ht="15.75">
      <c r="B78" s="153">
        <v>42761</v>
      </c>
      <c r="C78" s="416" t="s">
        <v>149</v>
      </c>
      <c r="D78" s="417"/>
      <c r="E78" s="417"/>
      <c r="F78" s="417"/>
      <c r="G78" s="417"/>
      <c r="H78" s="417"/>
      <c r="I78" s="417"/>
      <c r="J78" s="417"/>
      <c r="K78" s="417"/>
      <c r="L78" s="417"/>
      <c r="M78" s="417"/>
      <c r="N78" s="417"/>
      <c r="O78" s="417"/>
      <c r="P78" s="417"/>
      <c r="Q78" s="417"/>
      <c r="R78" s="417"/>
      <c r="S78" s="417"/>
      <c r="T78" s="417"/>
      <c r="U78" s="417"/>
      <c r="V78" s="417"/>
      <c r="W78" s="417"/>
      <c r="X78" s="417"/>
      <c r="Y78" s="417"/>
      <c r="Z78" s="417"/>
      <c r="AA78" s="417"/>
      <c r="AB78" s="417"/>
      <c r="AC78" s="417"/>
      <c r="AD78" s="417"/>
      <c r="AE78" s="418"/>
      <c r="AF78" s="151"/>
      <c r="AG78" s="151"/>
      <c r="AH78" s="148"/>
      <c r="AI78" s="148"/>
      <c r="AJ78" s="148"/>
      <c r="AK78" s="148"/>
      <c r="AL78" s="148"/>
      <c r="AM78" s="148"/>
      <c r="AQ78" s="126"/>
      <c r="AR78" s="126"/>
      <c r="AS78" s="126"/>
      <c r="AT78" s="126"/>
      <c r="BA78" s="113"/>
      <c r="BS78" s="4"/>
      <c r="BT78" s="5"/>
      <c r="BU78" s="5"/>
      <c r="BV78" s="6"/>
    </row>
    <row r="79" spans="2:74" ht="15.75">
      <c r="B79" s="153">
        <v>42762</v>
      </c>
      <c r="C79" s="416" t="s">
        <v>123</v>
      </c>
      <c r="D79" s="417"/>
      <c r="E79" s="417"/>
      <c r="F79" s="417"/>
      <c r="G79" s="417"/>
      <c r="H79" s="417"/>
      <c r="I79" s="417"/>
      <c r="J79" s="417"/>
      <c r="K79" s="417"/>
      <c r="L79" s="417"/>
      <c r="M79" s="417"/>
      <c r="N79" s="417"/>
      <c r="O79" s="417"/>
      <c r="P79" s="417"/>
      <c r="Q79" s="417"/>
      <c r="R79" s="417"/>
      <c r="S79" s="417"/>
      <c r="T79" s="417"/>
      <c r="U79" s="417"/>
      <c r="V79" s="417"/>
      <c r="W79" s="417"/>
      <c r="X79" s="417"/>
      <c r="Y79" s="417"/>
      <c r="Z79" s="417"/>
      <c r="AA79" s="417"/>
      <c r="AB79" s="417"/>
      <c r="AC79" s="417"/>
      <c r="AD79" s="417"/>
      <c r="AE79" s="418"/>
      <c r="AF79" s="151"/>
      <c r="AG79" s="151"/>
      <c r="AH79" s="148"/>
      <c r="AI79" s="148"/>
      <c r="AJ79" s="148"/>
      <c r="AK79" s="148"/>
      <c r="AL79" s="148"/>
      <c r="AM79" s="148"/>
      <c r="AQ79" s="126"/>
      <c r="AR79" s="126"/>
      <c r="AS79" s="126"/>
      <c r="AT79" s="126"/>
      <c r="BA79" s="113"/>
      <c r="BS79" s="4"/>
      <c r="BT79" s="5"/>
      <c r="BU79" s="5"/>
      <c r="BV79" s="6"/>
    </row>
    <row r="80" spans="2:74" ht="15.75">
      <c r="B80" s="153">
        <v>42763</v>
      </c>
      <c r="C80" s="416" t="s">
        <v>123</v>
      </c>
      <c r="D80" s="417"/>
      <c r="E80" s="417"/>
      <c r="F80" s="417"/>
      <c r="G80" s="417"/>
      <c r="H80" s="417"/>
      <c r="I80" s="417"/>
      <c r="J80" s="417"/>
      <c r="K80" s="417"/>
      <c r="L80" s="417"/>
      <c r="M80" s="417"/>
      <c r="N80" s="417"/>
      <c r="O80" s="417"/>
      <c r="P80" s="417"/>
      <c r="Q80" s="417"/>
      <c r="R80" s="417"/>
      <c r="S80" s="417"/>
      <c r="T80" s="417"/>
      <c r="U80" s="417"/>
      <c r="V80" s="417"/>
      <c r="W80" s="417"/>
      <c r="X80" s="417"/>
      <c r="Y80" s="417"/>
      <c r="Z80" s="417"/>
      <c r="AA80" s="417"/>
      <c r="AB80" s="417"/>
      <c r="AC80" s="417"/>
      <c r="AD80" s="417"/>
      <c r="AE80" s="418"/>
      <c r="AF80" s="151"/>
      <c r="AG80" s="151"/>
      <c r="AH80" s="148"/>
      <c r="AI80" s="148"/>
      <c r="AJ80" s="148"/>
      <c r="AK80" s="148"/>
      <c r="AL80" s="148"/>
      <c r="AM80" s="148"/>
      <c r="AQ80" s="126"/>
      <c r="AR80" s="126"/>
      <c r="AS80" s="126"/>
      <c r="AT80" s="126"/>
      <c r="BA80" s="113"/>
      <c r="BS80" s="4"/>
      <c r="BT80" s="5"/>
      <c r="BU80" s="5"/>
      <c r="BV80" s="6"/>
    </row>
    <row r="81" spans="2:74" ht="15.75">
      <c r="B81" s="153">
        <v>42764</v>
      </c>
      <c r="C81" s="416" t="s">
        <v>123</v>
      </c>
      <c r="D81" s="417"/>
      <c r="E81" s="417"/>
      <c r="F81" s="417"/>
      <c r="G81" s="417"/>
      <c r="H81" s="417"/>
      <c r="I81" s="417"/>
      <c r="J81" s="417"/>
      <c r="K81" s="417"/>
      <c r="L81" s="417"/>
      <c r="M81" s="417"/>
      <c r="N81" s="417"/>
      <c r="O81" s="417"/>
      <c r="P81" s="417"/>
      <c r="Q81" s="417"/>
      <c r="R81" s="417"/>
      <c r="S81" s="417"/>
      <c r="T81" s="417"/>
      <c r="U81" s="417"/>
      <c r="V81" s="417"/>
      <c r="W81" s="417"/>
      <c r="X81" s="417"/>
      <c r="Y81" s="417"/>
      <c r="Z81" s="417"/>
      <c r="AA81" s="417"/>
      <c r="AB81" s="417"/>
      <c r="AC81" s="417"/>
      <c r="AD81" s="417"/>
      <c r="AE81" s="418"/>
      <c r="AF81" s="151"/>
      <c r="AG81" s="151"/>
      <c r="AH81" s="148"/>
      <c r="AI81" s="148"/>
      <c r="AJ81" s="148"/>
      <c r="AK81" s="148"/>
      <c r="AL81" s="148"/>
      <c r="AM81" s="148"/>
      <c r="AQ81" s="126"/>
      <c r="AR81" s="126"/>
      <c r="AS81" s="126"/>
      <c r="AT81" s="126"/>
      <c r="BA81" s="113"/>
      <c r="BS81" s="4"/>
      <c r="BT81" s="5"/>
      <c r="BU81" s="5"/>
      <c r="BV81" s="6"/>
    </row>
    <row r="82" spans="2:74" ht="15.75">
      <c r="B82" s="153">
        <v>42765</v>
      </c>
      <c r="C82" s="416" t="s">
        <v>139</v>
      </c>
      <c r="D82" s="417"/>
      <c r="E82" s="417"/>
      <c r="F82" s="417"/>
      <c r="G82" s="417"/>
      <c r="H82" s="417"/>
      <c r="I82" s="417"/>
      <c r="J82" s="417"/>
      <c r="K82" s="417"/>
      <c r="L82" s="417"/>
      <c r="M82" s="417"/>
      <c r="N82" s="417"/>
      <c r="O82" s="417"/>
      <c r="P82" s="417"/>
      <c r="Q82" s="417"/>
      <c r="R82" s="417"/>
      <c r="S82" s="417"/>
      <c r="T82" s="417"/>
      <c r="U82" s="417"/>
      <c r="V82" s="417"/>
      <c r="W82" s="417"/>
      <c r="X82" s="417"/>
      <c r="Y82" s="417"/>
      <c r="Z82" s="417"/>
      <c r="AA82" s="417"/>
      <c r="AB82" s="417"/>
      <c r="AC82" s="417"/>
      <c r="AD82" s="417"/>
      <c r="AE82" s="418"/>
      <c r="AF82" s="151"/>
      <c r="AG82" s="151"/>
      <c r="AH82" s="148"/>
      <c r="AI82" s="148"/>
      <c r="AJ82" s="148"/>
      <c r="AK82" s="148"/>
      <c r="AL82" s="148"/>
      <c r="AM82" s="148"/>
      <c r="AQ82" s="126"/>
      <c r="AR82" s="126"/>
      <c r="AS82" s="126"/>
      <c r="AT82" s="126"/>
      <c r="BA82" s="113"/>
      <c r="BS82" s="4"/>
      <c r="BT82" s="5"/>
      <c r="BU82" s="5"/>
      <c r="BV82" s="6"/>
    </row>
    <row r="83" spans="2:74" ht="15.75">
      <c r="B83" s="153">
        <v>42766</v>
      </c>
      <c r="C83" s="416" t="s">
        <v>140</v>
      </c>
      <c r="D83" s="417"/>
      <c r="E83" s="417"/>
      <c r="F83" s="417"/>
      <c r="G83" s="417"/>
      <c r="H83" s="417"/>
      <c r="I83" s="417"/>
      <c r="J83" s="417"/>
      <c r="K83" s="417"/>
      <c r="L83" s="417"/>
      <c r="M83" s="417"/>
      <c r="N83" s="417"/>
      <c r="O83" s="417"/>
      <c r="P83" s="417"/>
      <c r="Q83" s="417"/>
      <c r="R83" s="417"/>
      <c r="S83" s="417"/>
      <c r="T83" s="417"/>
      <c r="U83" s="417"/>
      <c r="V83" s="417"/>
      <c r="W83" s="417"/>
      <c r="X83" s="417"/>
      <c r="Y83" s="417"/>
      <c r="Z83" s="417"/>
      <c r="AA83" s="417"/>
      <c r="AB83" s="417"/>
      <c r="AC83" s="417"/>
      <c r="AD83" s="417"/>
      <c r="AE83" s="418"/>
      <c r="AF83" s="151"/>
      <c r="AG83" s="151"/>
      <c r="AH83" s="148"/>
      <c r="AI83" s="148"/>
      <c r="AJ83" s="148"/>
      <c r="AK83" s="148"/>
      <c r="AL83" s="148"/>
      <c r="AM83" s="148"/>
      <c r="AQ83" s="126"/>
      <c r="AR83" s="126"/>
      <c r="AS83" s="126"/>
      <c r="AT83" s="126"/>
      <c r="BA83" s="113"/>
      <c r="BS83" s="4"/>
      <c r="BT83" s="5"/>
      <c r="BU83" s="5"/>
      <c r="BV83" s="6"/>
    </row>
  </sheetData>
  <mergeCells count="117">
    <mergeCell ref="CD3:CE3"/>
    <mergeCell ref="CF3:CG3"/>
    <mergeCell ref="B1:Y1"/>
    <mergeCell ref="B2:AG2"/>
    <mergeCell ref="B3:B5"/>
    <mergeCell ref="C3:C5"/>
    <mergeCell ref="D3:D5"/>
    <mergeCell ref="F3:G4"/>
    <mergeCell ref="H3:K3"/>
    <mergeCell ref="L3:O3"/>
    <mergeCell ref="P3:Q4"/>
    <mergeCell ref="R3:R5"/>
    <mergeCell ref="AE3:AE5"/>
    <mergeCell ref="AF3:AF5"/>
    <mergeCell ref="Y3:Y5"/>
    <mergeCell ref="Z3:Z5"/>
    <mergeCell ref="AA3:AA5"/>
    <mergeCell ref="AB3:AB5"/>
    <mergeCell ref="AC3:AC5"/>
    <mergeCell ref="AD3:AD5"/>
    <mergeCell ref="AK3:AK5"/>
    <mergeCell ref="AL3:AL5"/>
    <mergeCell ref="AM3:AM5"/>
    <mergeCell ref="AN3:AN5"/>
    <mergeCell ref="CB3:CB5"/>
    <mergeCell ref="H4:I4"/>
    <mergeCell ref="J4:K4"/>
    <mergeCell ref="L4:M4"/>
    <mergeCell ref="N4:O4"/>
    <mergeCell ref="BH4:BH5"/>
    <mergeCell ref="BY3:BY5"/>
    <mergeCell ref="CA3:CA5"/>
    <mergeCell ref="BW4:BW5"/>
    <mergeCell ref="BX3:BX5"/>
    <mergeCell ref="BU3:BU5"/>
    <mergeCell ref="BQ3:BQ5"/>
    <mergeCell ref="BN4:BN5"/>
    <mergeCell ref="BO4:BO5"/>
    <mergeCell ref="AX3:AX5"/>
    <mergeCell ref="AY3:AY5"/>
    <mergeCell ref="AZ3:AZ5"/>
    <mergeCell ref="BB3:BB5"/>
    <mergeCell ref="BC3:BC5"/>
    <mergeCell ref="BD3:BD5"/>
    <mergeCell ref="BL4:BL5"/>
    <mergeCell ref="BE3:BE5"/>
    <mergeCell ref="BR3:BR5"/>
    <mergeCell ref="BT3:BT5"/>
    <mergeCell ref="BL3:BM3"/>
    <mergeCell ref="BP3:BP5"/>
    <mergeCell ref="BM4:BM5"/>
    <mergeCell ref="A34:A40"/>
    <mergeCell ref="F44:G44"/>
    <mergeCell ref="A27:A33"/>
    <mergeCell ref="BI4:BI5"/>
    <mergeCell ref="BK4:BK5"/>
    <mergeCell ref="AR3:AR5"/>
    <mergeCell ref="AT3:AT5"/>
    <mergeCell ref="AU3:AU5"/>
    <mergeCell ref="AG3:AG5"/>
    <mergeCell ref="AH3:AH5"/>
    <mergeCell ref="AI3:AI5"/>
    <mergeCell ref="AJ3:AJ5"/>
    <mergeCell ref="AV3:AV5"/>
    <mergeCell ref="AW3:AW5"/>
    <mergeCell ref="A6:A12"/>
    <mergeCell ref="A13:A19"/>
    <mergeCell ref="A20:A26"/>
    <mergeCell ref="BF3:BF5"/>
    <mergeCell ref="BG3:BG5"/>
    <mergeCell ref="AP3:AP5"/>
    <mergeCell ref="AQ3:AQ5"/>
    <mergeCell ref="AO3:AO5"/>
    <mergeCell ref="S3:S5"/>
    <mergeCell ref="T3:T5"/>
    <mergeCell ref="C57:AE57"/>
    <mergeCell ref="C58:AE58"/>
    <mergeCell ref="H44:I44"/>
    <mergeCell ref="J44:K44"/>
    <mergeCell ref="L44:M44"/>
    <mergeCell ref="N44:O44"/>
    <mergeCell ref="P44:Q44"/>
    <mergeCell ref="C52:AE52"/>
    <mergeCell ref="C53:AE53"/>
    <mergeCell ref="C54:AE54"/>
    <mergeCell ref="C55:AE55"/>
    <mergeCell ref="C56:AE56"/>
    <mergeCell ref="U3:U5"/>
    <mergeCell ref="V3:V5"/>
    <mergeCell ref="W3:W5"/>
    <mergeCell ref="X3:X5"/>
    <mergeCell ref="E3:E5"/>
    <mergeCell ref="C69:AE69"/>
    <mergeCell ref="C70:AE70"/>
    <mergeCell ref="C59:AE59"/>
    <mergeCell ref="C60:AE60"/>
    <mergeCell ref="C61:AE61"/>
    <mergeCell ref="C62:AE62"/>
    <mergeCell ref="C63:AE63"/>
    <mergeCell ref="C64:AE64"/>
    <mergeCell ref="C65:AE65"/>
    <mergeCell ref="C66:AE66"/>
    <mergeCell ref="C67:AE67"/>
    <mergeCell ref="C68:AE68"/>
    <mergeCell ref="C71:AE71"/>
    <mergeCell ref="C72:AE72"/>
    <mergeCell ref="C73:AE73"/>
    <mergeCell ref="C74:AE74"/>
    <mergeCell ref="C83:AE83"/>
    <mergeCell ref="C77:AE77"/>
    <mergeCell ref="C78:AE78"/>
    <mergeCell ref="C79:AE79"/>
    <mergeCell ref="C80:AE80"/>
    <mergeCell ref="C81:AE81"/>
    <mergeCell ref="C82:AE82"/>
    <mergeCell ref="C75:AE75"/>
    <mergeCell ref="C76:AE76"/>
  </mergeCells>
  <phoneticPr fontId="0" type="noConversion"/>
  <conditionalFormatting sqref="R13:T15">
    <cfRule type="cellIs" dxfId="4" priority="1" stopIfTrue="1" operator="greaterThan">
      <formula>3768</formula>
    </cfRule>
  </conditionalFormatting>
  <pageMargins left="0.7" right="0.7" top="0.75" bottom="0.75" header="0.3" footer="0.3"/>
  <pageSetup paperSize="9" orientation="portrait" r:id="rId1"/>
  <ignoredErrors>
    <ignoredError sqref="AC6:AD40 AP6:AP40 AM6:AM40" unlockedFormula="1"/>
    <ignoredError sqref="AI6:AI40" evalError="1"/>
  </ignoredErrors>
</worksheet>
</file>

<file path=xl/worksheets/sheet10.xml><?xml version="1.0" encoding="utf-8"?>
<worksheet xmlns="http://schemas.openxmlformats.org/spreadsheetml/2006/main" xmlns:r="http://schemas.openxmlformats.org/officeDocument/2006/relationships">
  <dimension ref="A1:CG106"/>
  <sheetViews>
    <sheetView workbookViewId="0">
      <pane xSplit="2" ySplit="5" topLeftCell="AC23" activePane="bottomRight" state="frozen"/>
      <selection pane="topRight" activeCell="C1" sqref="C1"/>
      <selection pane="bottomLeft" activeCell="A6" sqref="A6"/>
      <selection pane="bottomRight" activeCell="AH41" sqref="AH41"/>
    </sheetView>
  </sheetViews>
  <sheetFormatPr defaultRowHeight="15"/>
  <cols>
    <col min="2" max="2" width="9.42578125" bestFit="1" customWidth="1"/>
    <col min="5" max="5" width="9.28515625" bestFit="1" customWidth="1"/>
    <col min="22" max="22" width="9.5703125" customWidth="1"/>
    <col min="25" max="25" width="9.28515625" customWidth="1"/>
    <col min="37" max="37" width="10.85546875" customWidth="1"/>
    <col min="39" max="39" width="11" customWidth="1"/>
    <col min="40" max="40" width="10.5703125" customWidth="1"/>
    <col min="41" max="41" width="9.42578125" customWidth="1"/>
    <col min="42" max="42" width="11.5703125" customWidth="1"/>
    <col min="66" max="66" width="9.5703125" bestFit="1" customWidth="1"/>
    <col min="79" max="79" width="12.42578125" customWidth="1"/>
    <col min="80" max="80" width="12" customWidth="1"/>
    <col min="81" max="81" width="8.28515625" customWidth="1"/>
    <col min="82" max="82" width="10" customWidth="1"/>
  </cols>
  <sheetData>
    <row r="1" spans="1:85" ht="18">
      <c r="B1" s="489" t="s">
        <v>0</v>
      </c>
      <c r="C1" s="489"/>
      <c r="D1" s="489"/>
      <c r="E1" s="489"/>
      <c r="F1" s="489"/>
      <c r="G1" s="489"/>
      <c r="H1" s="489"/>
      <c r="I1" s="489"/>
      <c r="J1" s="489"/>
      <c r="K1" s="489"/>
      <c r="L1" s="489"/>
      <c r="M1" s="489"/>
      <c r="N1" s="489"/>
      <c r="O1" s="489"/>
      <c r="P1" s="489"/>
      <c r="Q1" s="489"/>
      <c r="R1" s="489"/>
      <c r="S1" s="489"/>
      <c r="T1" s="489"/>
      <c r="U1" s="489"/>
      <c r="V1" s="489"/>
      <c r="W1" s="489"/>
      <c r="X1" s="489"/>
      <c r="Y1" s="489"/>
      <c r="Z1" s="1"/>
      <c r="AA1" s="2"/>
      <c r="AB1" s="2"/>
      <c r="AC1" s="2"/>
      <c r="AD1" s="2"/>
      <c r="AE1" s="3"/>
      <c r="AF1" s="3"/>
      <c r="AG1" s="3"/>
      <c r="AH1" s="3"/>
      <c r="AI1" s="3"/>
      <c r="AJ1" s="3"/>
      <c r="AK1" s="3"/>
      <c r="AL1" s="3"/>
      <c r="AM1" s="3"/>
      <c r="AS1" s="4"/>
      <c r="BA1" s="4"/>
      <c r="BS1" s="4"/>
      <c r="BT1" s="5"/>
      <c r="BU1" s="5"/>
      <c r="BV1" s="6"/>
    </row>
    <row r="2" spans="1:85" ht="18.75" thickBot="1">
      <c r="B2" s="490">
        <v>43374</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7"/>
      <c r="AI2" s="7"/>
      <c r="AJ2" s="7"/>
      <c r="AK2" s="8"/>
      <c r="AL2" s="8"/>
      <c r="AM2" s="8"/>
      <c r="AN2" s="8"/>
      <c r="AO2" s="8"/>
      <c r="AP2" s="8"/>
      <c r="AQ2" s="8"/>
      <c r="AR2" s="8"/>
      <c r="AS2" s="9"/>
      <c r="AT2" s="10"/>
      <c r="AU2" s="10"/>
      <c r="AV2" s="10"/>
      <c r="AW2" s="10"/>
      <c r="AX2" s="10"/>
      <c r="AY2" s="11"/>
      <c r="AZ2" s="11"/>
      <c r="BA2" s="4"/>
      <c r="BS2" s="4"/>
      <c r="BT2" s="5"/>
      <c r="BU2" s="5"/>
      <c r="BV2" s="6"/>
    </row>
    <row r="3" spans="1:85" ht="30.75" thickBot="1">
      <c r="A3" s="12"/>
      <c r="B3" s="491" t="s">
        <v>1</v>
      </c>
      <c r="C3" s="442" t="s">
        <v>2</v>
      </c>
      <c r="D3" s="494" t="s">
        <v>3</v>
      </c>
      <c r="E3" s="442" t="s">
        <v>130</v>
      </c>
      <c r="F3" s="497" t="s">
        <v>4</v>
      </c>
      <c r="G3" s="498"/>
      <c r="H3" s="477" t="s">
        <v>5</v>
      </c>
      <c r="I3" s="501"/>
      <c r="J3" s="501"/>
      <c r="K3" s="480"/>
      <c r="L3" s="477" t="s">
        <v>6</v>
      </c>
      <c r="M3" s="501"/>
      <c r="N3" s="501"/>
      <c r="O3" s="480"/>
      <c r="P3" s="502" t="s">
        <v>7</v>
      </c>
      <c r="Q3" s="503"/>
      <c r="R3" s="506" t="s">
        <v>8</v>
      </c>
      <c r="S3" s="422" t="s">
        <v>9</v>
      </c>
      <c r="T3" s="425" t="s">
        <v>10</v>
      </c>
      <c r="U3" s="433" t="s">
        <v>11</v>
      </c>
      <c r="V3" s="436" t="s">
        <v>12</v>
      </c>
      <c r="W3" s="439" t="s">
        <v>13</v>
      </c>
      <c r="X3" s="439" t="s">
        <v>14</v>
      </c>
      <c r="Y3" s="439" t="s">
        <v>15</v>
      </c>
      <c r="Z3" s="439" t="s">
        <v>16</v>
      </c>
      <c r="AA3" s="439" t="s">
        <v>17</v>
      </c>
      <c r="AB3" s="439" t="s">
        <v>18</v>
      </c>
      <c r="AC3" s="515" t="s">
        <v>19</v>
      </c>
      <c r="AD3" s="512" t="s">
        <v>20</v>
      </c>
      <c r="AE3" s="509" t="s">
        <v>21</v>
      </c>
      <c r="AF3" s="512" t="s">
        <v>22</v>
      </c>
      <c r="AG3" s="465" t="s">
        <v>23</v>
      </c>
      <c r="AH3" s="465" t="s">
        <v>24</v>
      </c>
      <c r="AI3" s="465" t="s">
        <v>25</v>
      </c>
      <c r="AJ3" s="468" t="s">
        <v>26</v>
      </c>
      <c r="AK3" s="518" t="s">
        <v>27</v>
      </c>
      <c r="AL3" s="419" t="s">
        <v>28</v>
      </c>
      <c r="AM3" s="468" t="s">
        <v>29</v>
      </c>
      <c r="AN3" s="419" t="s">
        <v>30</v>
      </c>
      <c r="AO3" s="419" t="s">
        <v>31</v>
      </c>
      <c r="AP3" s="468" t="s">
        <v>32</v>
      </c>
      <c r="AQ3" s="471" t="s">
        <v>33</v>
      </c>
      <c r="AR3" s="459" t="s">
        <v>34</v>
      </c>
      <c r="AS3" s="13"/>
      <c r="AT3" s="462" t="s">
        <v>35</v>
      </c>
      <c r="AU3" s="447" t="s">
        <v>36</v>
      </c>
      <c r="AV3" s="447" t="s">
        <v>37</v>
      </c>
      <c r="AW3" s="447" t="s">
        <v>38</v>
      </c>
      <c r="AX3" s="447" t="s">
        <v>39</v>
      </c>
      <c r="AY3" s="447" t="s">
        <v>40</v>
      </c>
      <c r="AZ3" s="447" t="s">
        <v>41</v>
      </c>
      <c r="BA3" s="4"/>
      <c r="BB3" s="447" t="s">
        <v>42</v>
      </c>
      <c r="BC3" s="447" t="s">
        <v>43</v>
      </c>
      <c r="BD3" s="447" t="s">
        <v>44</v>
      </c>
      <c r="BE3" s="447" t="s">
        <v>45</v>
      </c>
      <c r="BF3" s="447" t="s">
        <v>46</v>
      </c>
      <c r="BG3" s="447" t="s">
        <v>47</v>
      </c>
      <c r="BH3" s="14" t="s">
        <v>48</v>
      </c>
      <c r="BI3" s="14" t="s">
        <v>49</v>
      </c>
      <c r="BJ3" s="14" t="s">
        <v>50</v>
      </c>
      <c r="BK3" s="14" t="s">
        <v>51</v>
      </c>
      <c r="BL3" s="445" t="s">
        <v>52</v>
      </c>
      <c r="BM3" s="446"/>
      <c r="BN3" s="14" t="s">
        <v>53</v>
      </c>
      <c r="BO3" s="14" t="s">
        <v>54</v>
      </c>
      <c r="BP3" s="447" t="s">
        <v>55</v>
      </c>
      <c r="BQ3" s="484" t="s">
        <v>56</v>
      </c>
      <c r="BR3" s="484" t="s">
        <v>57</v>
      </c>
      <c r="BS3" s="15"/>
      <c r="BT3" s="481" t="s">
        <v>58</v>
      </c>
      <c r="BU3" s="481" t="s">
        <v>59</v>
      </c>
      <c r="BV3" s="6"/>
      <c r="BW3" s="14" t="s">
        <v>60</v>
      </c>
      <c r="BX3" s="447" t="s">
        <v>61</v>
      </c>
      <c r="BY3" s="447" t="s">
        <v>62</v>
      </c>
      <c r="CA3" s="474" t="s">
        <v>63</v>
      </c>
      <c r="CB3" s="474" t="s">
        <v>64</v>
      </c>
      <c r="CD3" s="487" t="s">
        <v>124</v>
      </c>
      <c r="CE3" s="488"/>
      <c r="CF3" s="487" t="s">
        <v>128</v>
      </c>
      <c r="CG3" s="488"/>
    </row>
    <row r="4" spans="1:85" ht="26.25" thickBot="1">
      <c r="A4" s="16"/>
      <c r="B4" s="492"/>
      <c r="C4" s="443"/>
      <c r="D4" s="495"/>
      <c r="E4" s="443"/>
      <c r="F4" s="499"/>
      <c r="G4" s="500"/>
      <c r="H4" s="477" t="s">
        <v>65</v>
      </c>
      <c r="I4" s="478"/>
      <c r="J4" s="479" t="s">
        <v>66</v>
      </c>
      <c r="K4" s="480"/>
      <c r="L4" s="477" t="s">
        <v>65</v>
      </c>
      <c r="M4" s="478"/>
      <c r="N4" s="479" t="s">
        <v>66</v>
      </c>
      <c r="O4" s="480"/>
      <c r="P4" s="504"/>
      <c r="Q4" s="505"/>
      <c r="R4" s="507"/>
      <c r="S4" s="423"/>
      <c r="T4" s="426"/>
      <c r="U4" s="434"/>
      <c r="V4" s="437"/>
      <c r="W4" s="440"/>
      <c r="X4" s="440"/>
      <c r="Y4" s="440"/>
      <c r="Z4" s="440"/>
      <c r="AA4" s="440"/>
      <c r="AB4" s="440"/>
      <c r="AC4" s="516"/>
      <c r="AD4" s="513"/>
      <c r="AE4" s="510"/>
      <c r="AF4" s="513"/>
      <c r="AG4" s="466"/>
      <c r="AH4" s="466"/>
      <c r="AI4" s="466"/>
      <c r="AJ4" s="469"/>
      <c r="AK4" s="519"/>
      <c r="AL4" s="420"/>
      <c r="AM4" s="469"/>
      <c r="AN4" s="420"/>
      <c r="AO4" s="420"/>
      <c r="AP4" s="469"/>
      <c r="AQ4" s="472"/>
      <c r="AR4" s="460"/>
      <c r="AS4" s="13"/>
      <c r="AT4" s="463"/>
      <c r="AU4" s="440"/>
      <c r="AV4" s="440"/>
      <c r="AW4" s="440"/>
      <c r="AX4" s="440"/>
      <c r="AY4" s="440"/>
      <c r="AZ4" s="440"/>
      <c r="BA4" s="4"/>
      <c r="BB4" s="440"/>
      <c r="BC4" s="440"/>
      <c r="BD4" s="440"/>
      <c r="BE4" s="440"/>
      <c r="BF4" s="440"/>
      <c r="BG4" s="440"/>
      <c r="BH4" s="457" t="s">
        <v>67</v>
      </c>
      <c r="BI4" s="457" t="s">
        <v>67</v>
      </c>
      <c r="BJ4" s="17" t="s">
        <v>68</v>
      </c>
      <c r="BK4" s="449" t="s">
        <v>69</v>
      </c>
      <c r="BL4" s="449" t="s">
        <v>69</v>
      </c>
      <c r="BM4" s="449" t="s">
        <v>70</v>
      </c>
      <c r="BN4" s="457" t="s">
        <v>71</v>
      </c>
      <c r="BO4" s="457" t="s">
        <v>72</v>
      </c>
      <c r="BP4" s="440"/>
      <c r="BQ4" s="485"/>
      <c r="BR4" s="485"/>
      <c r="BS4" s="15"/>
      <c r="BT4" s="482"/>
      <c r="BU4" s="482"/>
      <c r="BV4" s="6"/>
      <c r="BW4" s="457" t="s">
        <v>67</v>
      </c>
      <c r="BX4" s="440"/>
      <c r="BY4" s="440"/>
      <c r="CA4" s="475"/>
      <c r="CB4" s="475"/>
      <c r="CD4" s="211" t="s">
        <v>129</v>
      </c>
      <c r="CE4" s="210" t="s">
        <v>125</v>
      </c>
      <c r="CF4" s="211" t="s">
        <v>129</v>
      </c>
      <c r="CG4" s="210" t="s">
        <v>125</v>
      </c>
    </row>
    <row r="5" spans="1:85" ht="15.75" thickBot="1">
      <c r="A5" s="16"/>
      <c r="B5" s="493"/>
      <c r="C5" s="444"/>
      <c r="D5" s="496"/>
      <c r="E5" s="444"/>
      <c r="F5" s="18" t="s">
        <v>73</v>
      </c>
      <c r="G5" s="19" t="s">
        <v>74</v>
      </c>
      <c r="H5" s="373" t="s">
        <v>75</v>
      </c>
      <c r="I5" s="21" t="s">
        <v>76</v>
      </c>
      <c r="J5" s="21" t="s">
        <v>75</v>
      </c>
      <c r="K5" s="374" t="s">
        <v>76</v>
      </c>
      <c r="L5" s="23" t="s">
        <v>75</v>
      </c>
      <c r="M5" s="21" t="s">
        <v>76</v>
      </c>
      <c r="N5" s="21" t="s">
        <v>75</v>
      </c>
      <c r="O5" s="19" t="s">
        <v>76</v>
      </c>
      <c r="P5" s="21" t="s">
        <v>75</v>
      </c>
      <c r="Q5" s="19" t="s">
        <v>76</v>
      </c>
      <c r="R5" s="508"/>
      <c r="S5" s="424"/>
      <c r="T5" s="427"/>
      <c r="U5" s="435"/>
      <c r="V5" s="438"/>
      <c r="W5" s="441"/>
      <c r="X5" s="441"/>
      <c r="Y5" s="441"/>
      <c r="Z5" s="441"/>
      <c r="AA5" s="441"/>
      <c r="AB5" s="441"/>
      <c r="AC5" s="517"/>
      <c r="AD5" s="514"/>
      <c r="AE5" s="511"/>
      <c r="AF5" s="514"/>
      <c r="AG5" s="467"/>
      <c r="AH5" s="467"/>
      <c r="AI5" s="467"/>
      <c r="AJ5" s="470"/>
      <c r="AK5" s="520"/>
      <c r="AL5" s="421"/>
      <c r="AM5" s="470"/>
      <c r="AN5" s="421"/>
      <c r="AO5" s="421"/>
      <c r="AP5" s="470"/>
      <c r="AQ5" s="473"/>
      <c r="AR5" s="461"/>
      <c r="AS5" s="13"/>
      <c r="AT5" s="464"/>
      <c r="AU5" s="448"/>
      <c r="AV5" s="448"/>
      <c r="AW5" s="448"/>
      <c r="AX5" s="448"/>
      <c r="AY5" s="448"/>
      <c r="AZ5" s="448"/>
      <c r="BA5" s="4"/>
      <c r="BB5" s="448"/>
      <c r="BC5" s="448"/>
      <c r="BD5" s="448"/>
      <c r="BE5" s="448"/>
      <c r="BF5" s="448"/>
      <c r="BG5" s="448"/>
      <c r="BH5" s="458"/>
      <c r="BI5" s="458"/>
      <c r="BJ5" s="17" t="s">
        <v>77</v>
      </c>
      <c r="BK5" s="450"/>
      <c r="BL5" s="450"/>
      <c r="BM5" s="450"/>
      <c r="BN5" s="458"/>
      <c r="BO5" s="458"/>
      <c r="BP5" s="448"/>
      <c r="BQ5" s="486"/>
      <c r="BR5" s="486"/>
      <c r="BS5" s="15"/>
      <c r="BT5" s="483"/>
      <c r="BU5" s="483"/>
      <c r="BV5" s="6"/>
      <c r="BW5" s="458"/>
      <c r="BX5" s="448"/>
      <c r="BY5" s="448"/>
      <c r="CA5" s="476"/>
      <c r="CB5" s="476"/>
      <c r="CD5" s="213" t="s">
        <v>126</v>
      </c>
      <c r="CE5" s="212" t="s">
        <v>127</v>
      </c>
      <c r="CF5" s="213" t="s">
        <v>126</v>
      </c>
      <c r="CG5" s="212" t="s">
        <v>127</v>
      </c>
    </row>
    <row r="6" spans="1:85">
      <c r="A6" s="451" t="s">
        <v>297</v>
      </c>
      <c r="B6" s="24">
        <v>43374</v>
      </c>
      <c r="C6" s="25">
        <v>85.7</v>
      </c>
      <c r="D6" s="26">
        <v>0.59899999999999998</v>
      </c>
      <c r="E6" s="38">
        <v>70.7</v>
      </c>
      <c r="F6" s="27">
        <v>100</v>
      </c>
      <c r="G6" s="27">
        <v>76</v>
      </c>
      <c r="H6" s="28">
        <v>0</v>
      </c>
      <c r="I6" s="28">
        <v>0</v>
      </c>
      <c r="J6" s="28">
        <v>0</v>
      </c>
      <c r="K6" s="28">
        <v>0</v>
      </c>
      <c r="L6" s="29">
        <v>24</v>
      </c>
      <c r="M6" s="29">
        <v>0</v>
      </c>
      <c r="N6" s="29">
        <v>24</v>
      </c>
      <c r="O6" s="29">
        <v>0</v>
      </c>
      <c r="P6" s="29">
        <v>0</v>
      </c>
      <c r="Q6" s="29">
        <v>0</v>
      </c>
      <c r="R6" s="29">
        <v>3539</v>
      </c>
      <c r="S6" s="30">
        <v>3528</v>
      </c>
      <c r="T6" s="30">
        <v>0</v>
      </c>
      <c r="U6" s="31">
        <v>0</v>
      </c>
      <c r="V6" s="31">
        <v>0</v>
      </c>
      <c r="W6" s="28">
        <v>42</v>
      </c>
      <c r="X6" s="28">
        <v>0</v>
      </c>
      <c r="Y6" s="28">
        <v>45</v>
      </c>
      <c r="Z6" s="28">
        <v>0</v>
      </c>
      <c r="AA6" s="28">
        <v>60</v>
      </c>
      <c r="AB6" s="27">
        <v>0</v>
      </c>
      <c r="AC6" s="32">
        <f t="shared" ref="AC6:AC40" si="0">V6-U6+AZ6</f>
        <v>17</v>
      </c>
      <c r="AD6" s="33">
        <f t="shared" ref="AD6:AD40" si="1">U6-T6</f>
        <v>0</v>
      </c>
      <c r="AE6" s="27">
        <v>0</v>
      </c>
      <c r="AF6" s="34" t="str">
        <f t="shared" ref="AF6:AF40" si="2">IF(AE6&gt;0, V6/(AE6*24),"no data")</f>
        <v>no data</v>
      </c>
      <c r="AG6" s="35">
        <f>R6/24</f>
        <v>147.45833333333334</v>
      </c>
      <c r="AH6" s="34" t="str">
        <f t="shared" ref="AH6:AH40" si="3">IF(U6&gt;0,(U6/R6),"no data")</f>
        <v>no data</v>
      </c>
      <c r="AI6" s="36">
        <v>1</v>
      </c>
      <c r="AJ6" s="37">
        <f>(1440-((X6*W6+AT6*AU6)+(Z6*Y6+AV6*AW6)+(AA6*AB6+AX6*AY6))/(W6+Y6+AA6))/(1440)</f>
        <v>1</v>
      </c>
      <c r="AK6" s="234">
        <v>0</v>
      </c>
      <c r="AL6" s="237">
        <v>0</v>
      </c>
      <c r="AM6" s="38">
        <f t="shared" ref="AM6:AM40" si="4">AK6*AL6</f>
        <v>0</v>
      </c>
      <c r="AN6" s="234">
        <v>0</v>
      </c>
      <c r="AO6" s="234">
        <v>0</v>
      </c>
      <c r="AP6" s="39">
        <f t="shared" ref="AP6:AP40" si="5">AN6*AO6</f>
        <v>0</v>
      </c>
      <c r="AQ6" s="200" t="str">
        <f t="shared" ref="AQ6:AQ40" si="6">IF(U6&gt;0,((((AK6*AL6)+(AN6*AO6))/(U6*1000))*1000000),"no data")</f>
        <v>no data</v>
      </c>
      <c r="AR6" s="198">
        <f t="shared" ref="AR6:AR40" si="7">S6/24</f>
        <v>147</v>
      </c>
      <c r="AS6" s="13"/>
      <c r="AT6" s="27">
        <v>0</v>
      </c>
      <c r="AU6" s="40">
        <v>0</v>
      </c>
      <c r="AV6" s="40">
        <v>0</v>
      </c>
      <c r="AW6" s="27">
        <v>0</v>
      </c>
      <c r="AX6" s="40">
        <v>0</v>
      </c>
      <c r="AY6" s="27">
        <v>0</v>
      </c>
      <c r="AZ6" s="27">
        <v>17</v>
      </c>
      <c r="BA6" s="4"/>
      <c r="BB6" s="41">
        <v>0</v>
      </c>
      <c r="BC6" s="41">
        <v>0</v>
      </c>
      <c r="BD6" s="41">
        <v>0</v>
      </c>
      <c r="BE6" s="41">
        <f t="shared" ref="BE6:BE40" si="8">BC6-BB6</f>
        <v>0</v>
      </c>
      <c r="BF6" s="41" t="str">
        <f t="shared" ref="BF6:BF42" si="9">AQ6</f>
        <v>no data</v>
      </c>
      <c r="BG6" s="42">
        <f t="shared" ref="BG6:BG40" si="10">BD6/24</f>
        <v>0</v>
      </c>
      <c r="BH6" s="43">
        <v>0</v>
      </c>
      <c r="BI6" s="44">
        <v>0</v>
      </c>
      <c r="BJ6" s="45">
        <v>0</v>
      </c>
      <c r="BK6" s="46">
        <v>0</v>
      </c>
      <c r="BL6" s="45">
        <v>0</v>
      </c>
      <c r="BM6" s="45">
        <v>0</v>
      </c>
      <c r="BN6" s="47">
        <v>995.13</v>
      </c>
      <c r="BO6" s="45">
        <v>50.07</v>
      </c>
      <c r="BP6" s="48">
        <v>0</v>
      </c>
      <c r="BQ6" s="46">
        <v>0</v>
      </c>
      <c r="BR6" s="45">
        <v>0</v>
      </c>
      <c r="BS6" s="49">
        <f t="shared" ref="BS6:BS40" si="11">BR6-BQ6</f>
        <v>0</v>
      </c>
      <c r="BT6" s="205">
        <v>0</v>
      </c>
      <c r="BU6" s="205">
        <v>0</v>
      </c>
      <c r="BV6" s="206">
        <f t="shared" ref="BV6:BV40" si="12">BU6-BT6</f>
        <v>0</v>
      </c>
      <c r="BW6" s="207">
        <f t="shared" ref="BW6:BW40" si="13">BH6+BI6</f>
        <v>0</v>
      </c>
      <c r="BX6" s="208">
        <v>0</v>
      </c>
      <c r="BY6" s="208">
        <v>0</v>
      </c>
      <c r="BZ6" s="209"/>
      <c r="CA6" s="208">
        <v>0</v>
      </c>
      <c r="CB6" s="208">
        <v>0</v>
      </c>
      <c r="CD6" s="42">
        <v>0</v>
      </c>
      <c r="CE6" s="208">
        <v>0</v>
      </c>
      <c r="CF6" s="57">
        <v>0</v>
      </c>
      <c r="CG6" s="42">
        <v>0</v>
      </c>
    </row>
    <row r="7" spans="1:85">
      <c r="A7" s="452"/>
      <c r="B7" s="24">
        <v>43375</v>
      </c>
      <c r="C7" s="25">
        <v>85.4</v>
      </c>
      <c r="D7" s="26">
        <v>0.60299999999999998</v>
      </c>
      <c r="E7" s="38">
        <v>70.5</v>
      </c>
      <c r="F7" s="27">
        <v>99</v>
      </c>
      <c r="G7" s="27">
        <v>75</v>
      </c>
      <c r="H7" s="28">
        <v>3</v>
      </c>
      <c r="I7" s="28">
        <v>45</v>
      </c>
      <c r="J7" s="28">
        <v>4</v>
      </c>
      <c r="K7" s="28">
        <v>9</v>
      </c>
      <c r="L7" s="29">
        <v>19</v>
      </c>
      <c r="M7" s="29">
        <v>32</v>
      </c>
      <c r="N7" s="29">
        <v>16</v>
      </c>
      <c r="O7" s="29">
        <v>51</v>
      </c>
      <c r="P7" s="29">
        <v>3</v>
      </c>
      <c r="Q7" s="29">
        <v>0</v>
      </c>
      <c r="R7" s="29">
        <v>3546</v>
      </c>
      <c r="S7" s="30">
        <v>3288</v>
      </c>
      <c r="T7" s="30">
        <v>797</v>
      </c>
      <c r="U7" s="31">
        <v>686</v>
      </c>
      <c r="V7" s="31">
        <v>719</v>
      </c>
      <c r="W7" s="28">
        <v>42</v>
      </c>
      <c r="X7" s="28">
        <v>0</v>
      </c>
      <c r="Y7" s="28">
        <v>45</v>
      </c>
      <c r="Z7" s="28">
        <v>0</v>
      </c>
      <c r="AA7" s="28">
        <v>60</v>
      </c>
      <c r="AB7" s="27">
        <v>0</v>
      </c>
      <c r="AC7" s="32">
        <f t="shared" si="0"/>
        <v>45</v>
      </c>
      <c r="AD7" s="33">
        <f t="shared" si="1"/>
        <v>-111</v>
      </c>
      <c r="AE7" s="27">
        <v>148</v>
      </c>
      <c r="AF7" s="34">
        <f t="shared" si="2"/>
        <v>0.20242117117117117</v>
      </c>
      <c r="AG7" s="35">
        <f t="shared" ref="AG7:AG40" si="14">IF(R7&gt;0,R7/24,"no data")</f>
        <v>147.75</v>
      </c>
      <c r="AH7" s="34">
        <f t="shared" si="3"/>
        <v>0.19345741680767062</v>
      </c>
      <c r="AI7" s="36">
        <f t="shared" ref="AI7:AI40" si="15">(1440-((W7*X7)+(Y7*Z7)+(AA7*AB7))/(W7+Y7+AA7))/1440</f>
        <v>1</v>
      </c>
      <c r="AJ7" s="37">
        <f t="shared" ref="AJ7:AJ40" si="16">IF(U7&gt;0,(1440-((X7*W7+AT7*AU7)+(Z7*Y7+AV7*AW7)+(AA7*AB7+AX7*AY7))/(W7+Y7+AA7))/1440,"no data")</f>
        <v>0.96580687830687839</v>
      </c>
      <c r="AK7" s="235">
        <v>2.5059999999999998</v>
      </c>
      <c r="AL7" s="238">
        <v>174.87</v>
      </c>
      <c r="AM7" s="38">
        <f t="shared" si="4"/>
        <v>438.22421999999995</v>
      </c>
      <c r="AN7" s="235">
        <v>5.7779999999999996</v>
      </c>
      <c r="AO7" s="375">
        <v>994.83</v>
      </c>
      <c r="AP7" s="39">
        <f t="shared" si="5"/>
        <v>5748.1277399999999</v>
      </c>
      <c r="AQ7" s="201">
        <f t="shared" si="6"/>
        <v>9018.0057725947536</v>
      </c>
      <c r="AR7" s="198">
        <f t="shared" si="7"/>
        <v>137</v>
      </c>
      <c r="AS7" s="13"/>
      <c r="AT7" s="27">
        <v>24</v>
      </c>
      <c r="AU7" s="40">
        <v>43</v>
      </c>
      <c r="AV7" s="40">
        <v>17</v>
      </c>
      <c r="AW7" s="27">
        <v>180</v>
      </c>
      <c r="AX7" s="40">
        <v>26</v>
      </c>
      <c r="AY7" s="27">
        <v>121</v>
      </c>
      <c r="AZ7" s="27">
        <v>12</v>
      </c>
      <c r="BA7" s="4"/>
      <c r="BB7" s="41">
        <v>168</v>
      </c>
      <c r="BC7" s="41">
        <v>304</v>
      </c>
      <c r="BD7" s="41">
        <v>247</v>
      </c>
      <c r="BE7" s="41">
        <f t="shared" si="8"/>
        <v>136</v>
      </c>
      <c r="BF7" s="41">
        <f t="shared" si="9"/>
        <v>9018.0057725947536</v>
      </c>
      <c r="BG7" s="42">
        <f t="shared" si="10"/>
        <v>10.291666666666666</v>
      </c>
      <c r="BH7" s="43">
        <v>0.38100000000000001</v>
      </c>
      <c r="BI7" s="44">
        <v>0.46700000000000003</v>
      </c>
      <c r="BJ7" s="45">
        <v>30.05</v>
      </c>
      <c r="BK7" s="45">
        <v>22.55</v>
      </c>
      <c r="BL7" s="45">
        <v>18.940000000000001</v>
      </c>
      <c r="BM7" s="46">
        <v>26.11</v>
      </c>
      <c r="BN7" s="47">
        <v>995.8</v>
      </c>
      <c r="BO7" s="45">
        <v>49.97</v>
      </c>
      <c r="BP7" s="48">
        <v>0.91830000000000001</v>
      </c>
      <c r="BQ7" s="204">
        <v>96.56</v>
      </c>
      <c r="BR7" s="45">
        <v>87.03</v>
      </c>
      <c r="BS7" s="49">
        <f t="shared" si="11"/>
        <v>-9.5300000000000011</v>
      </c>
      <c r="BT7" s="205">
        <v>11907</v>
      </c>
      <c r="BU7" s="205">
        <v>11231</v>
      </c>
      <c r="BV7" s="206">
        <f t="shared" si="12"/>
        <v>-676</v>
      </c>
      <c r="BW7" s="207">
        <f t="shared" si="13"/>
        <v>0.84800000000000009</v>
      </c>
      <c r="BX7" s="208">
        <v>4.6500000000000004</v>
      </c>
      <c r="BY7" s="208">
        <v>3.34</v>
      </c>
      <c r="BZ7" s="209"/>
      <c r="CA7" s="208">
        <v>2.8</v>
      </c>
      <c r="CB7" s="208">
        <v>2.85</v>
      </c>
      <c r="CD7" s="42">
        <v>2.1</v>
      </c>
      <c r="CE7" s="208">
        <v>5</v>
      </c>
      <c r="CF7" s="57">
        <v>2.1</v>
      </c>
      <c r="CG7" s="42">
        <v>-2.2999999999999998</v>
      </c>
    </row>
    <row r="8" spans="1:85">
      <c r="A8" s="452"/>
      <c r="B8" s="24">
        <v>43376</v>
      </c>
      <c r="C8" s="25">
        <v>84.8</v>
      </c>
      <c r="D8" s="26">
        <v>0.58399999999999996</v>
      </c>
      <c r="E8" s="38">
        <v>69.099999999999994</v>
      </c>
      <c r="F8" s="27">
        <v>98</v>
      </c>
      <c r="G8" s="27">
        <v>73</v>
      </c>
      <c r="H8" s="28">
        <v>24</v>
      </c>
      <c r="I8" s="28">
        <v>0</v>
      </c>
      <c r="J8" s="28">
        <v>24</v>
      </c>
      <c r="K8" s="28">
        <v>0</v>
      </c>
      <c r="L8" s="29">
        <v>0</v>
      </c>
      <c r="M8" s="29">
        <v>0</v>
      </c>
      <c r="N8" s="29">
        <v>0</v>
      </c>
      <c r="O8" s="29">
        <v>0</v>
      </c>
      <c r="P8" s="29">
        <v>24</v>
      </c>
      <c r="Q8" s="29">
        <v>0</v>
      </c>
      <c r="R8" s="29">
        <v>3544</v>
      </c>
      <c r="S8" s="264">
        <v>3473</v>
      </c>
      <c r="T8" s="30">
        <v>3473</v>
      </c>
      <c r="U8" s="31">
        <v>3410</v>
      </c>
      <c r="V8" s="31">
        <v>3521</v>
      </c>
      <c r="W8" s="28">
        <v>42</v>
      </c>
      <c r="X8" s="28">
        <v>0</v>
      </c>
      <c r="Y8" s="28">
        <v>45</v>
      </c>
      <c r="Z8" s="28">
        <v>0</v>
      </c>
      <c r="AA8" s="28">
        <v>60</v>
      </c>
      <c r="AB8" s="27">
        <v>0</v>
      </c>
      <c r="AC8" s="32">
        <f t="shared" si="0"/>
        <v>111</v>
      </c>
      <c r="AD8" s="33">
        <f t="shared" si="1"/>
        <v>-63</v>
      </c>
      <c r="AE8" s="27">
        <v>148</v>
      </c>
      <c r="AF8" s="34">
        <f t="shared" si="2"/>
        <v>0.99127252252252251</v>
      </c>
      <c r="AG8" s="35">
        <f t="shared" si="14"/>
        <v>147.66666666666666</v>
      </c>
      <c r="AH8" s="34">
        <f t="shared" si="3"/>
        <v>0.96218961625282162</v>
      </c>
      <c r="AI8" s="36">
        <f t="shared" si="15"/>
        <v>1</v>
      </c>
      <c r="AJ8" s="37">
        <f t="shared" si="16"/>
        <v>1</v>
      </c>
      <c r="AK8" s="235">
        <v>8.2940000000000005</v>
      </c>
      <c r="AL8" s="239">
        <v>152.34</v>
      </c>
      <c r="AM8" s="38">
        <f t="shared" si="4"/>
        <v>1263.5079600000001</v>
      </c>
      <c r="AN8" s="235">
        <v>29.277999999999999</v>
      </c>
      <c r="AO8" s="375">
        <v>988.62599999999998</v>
      </c>
      <c r="AP8" s="39">
        <f t="shared" si="5"/>
        <v>28944.992027999997</v>
      </c>
      <c r="AQ8" s="201">
        <f t="shared" si="6"/>
        <v>8858.797650439883</v>
      </c>
      <c r="AR8" s="198">
        <f t="shared" si="7"/>
        <v>144.70833333333334</v>
      </c>
      <c r="AS8" s="13"/>
      <c r="AT8" s="27">
        <v>0</v>
      </c>
      <c r="AU8" s="40">
        <v>0</v>
      </c>
      <c r="AV8" s="40">
        <v>0</v>
      </c>
      <c r="AW8" s="27">
        <v>0</v>
      </c>
      <c r="AX8" s="40">
        <v>0</v>
      </c>
      <c r="AY8" s="27">
        <v>0</v>
      </c>
      <c r="AZ8" s="27">
        <v>0</v>
      </c>
      <c r="BA8" s="4"/>
      <c r="BB8" s="41">
        <v>1017</v>
      </c>
      <c r="BC8" s="41">
        <v>1076</v>
      </c>
      <c r="BD8" s="41">
        <v>1428</v>
      </c>
      <c r="BE8" s="41">
        <f t="shared" si="8"/>
        <v>59</v>
      </c>
      <c r="BF8" s="41">
        <f t="shared" si="9"/>
        <v>8858.797650439883</v>
      </c>
      <c r="BG8" s="42">
        <f t="shared" si="10"/>
        <v>59.5</v>
      </c>
      <c r="BH8" s="43">
        <v>2.2250000000000001</v>
      </c>
      <c r="BI8" s="44">
        <v>2.2250000000000001</v>
      </c>
      <c r="BJ8" s="45">
        <v>29.8</v>
      </c>
      <c r="BK8" s="46">
        <v>25.75</v>
      </c>
      <c r="BL8" s="45">
        <v>21.3</v>
      </c>
      <c r="BM8" s="45">
        <v>25.89</v>
      </c>
      <c r="BN8" s="47">
        <v>995.54</v>
      </c>
      <c r="BO8" s="45">
        <v>50.08</v>
      </c>
      <c r="BP8" s="48">
        <v>0.92549999999999999</v>
      </c>
      <c r="BQ8" s="46">
        <v>96.51</v>
      </c>
      <c r="BR8" s="45">
        <v>86.99</v>
      </c>
      <c r="BS8" s="49">
        <f t="shared" si="11"/>
        <v>-9.5200000000000102</v>
      </c>
      <c r="BT8" s="50">
        <v>12157</v>
      </c>
      <c r="BU8" s="50">
        <v>11283</v>
      </c>
      <c r="BV8" s="51">
        <f t="shared" si="12"/>
        <v>-874</v>
      </c>
      <c r="BW8" s="41">
        <f t="shared" si="13"/>
        <v>4.45</v>
      </c>
      <c r="BX8" s="42">
        <v>24</v>
      </c>
      <c r="BY8" s="42">
        <v>24</v>
      </c>
      <c r="CA8" s="42">
        <v>24</v>
      </c>
      <c r="CB8" s="42">
        <v>5.08</v>
      </c>
      <c r="CD8" s="42">
        <v>2.1</v>
      </c>
      <c r="CE8" s="42">
        <v>5</v>
      </c>
      <c r="CF8" s="57">
        <v>2.1</v>
      </c>
      <c r="CG8" s="42">
        <v>0</v>
      </c>
    </row>
    <row r="9" spans="1:85">
      <c r="A9" s="452"/>
      <c r="B9" s="24">
        <v>43377</v>
      </c>
      <c r="C9" s="25">
        <v>82.5</v>
      </c>
      <c r="D9" s="26">
        <v>0.56999999999999995</v>
      </c>
      <c r="E9" s="38">
        <v>66.400000000000006</v>
      </c>
      <c r="F9" s="27">
        <v>94</v>
      </c>
      <c r="G9" s="27">
        <v>73</v>
      </c>
      <c r="H9" s="28">
        <v>24</v>
      </c>
      <c r="I9" s="28">
        <v>0</v>
      </c>
      <c r="J9" s="28">
        <v>24</v>
      </c>
      <c r="K9" s="28">
        <v>0</v>
      </c>
      <c r="L9" s="29">
        <v>0</v>
      </c>
      <c r="M9" s="29">
        <v>0</v>
      </c>
      <c r="N9" s="29">
        <v>0</v>
      </c>
      <c r="O9" s="29">
        <v>0</v>
      </c>
      <c r="P9" s="29">
        <v>24</v>
      </c>
      <c r="Q9" s="29">
        <v>0</v>
      </c>
      <c r="R9" s="29">
        <v>3573</v>
      </c>
      <c r="S9" s="30">
        <v>3457</v>
      </c>
      <c r="T9" s="30">
        <v>3457</v>
      </c>
      <c r="U9" s="31">
        <v>3401</v>
      </c>
      <c r="V9" s="31">
        <v>3513</v>
      </c>
      <c r="W9" s="28">
        <v>42</v>
      </c>
      <c r="X9" s="28">
        <v>0</v>
      </c>
      <c r="Y9" s="28">
        <v>45</v>
      </c>
      <c r="Z9" s="28">
        <v>0</v>
      </c>
      <c r="AA9" s="28">
        <v>58</v>
      </c>
      <c r="AB9" s="27">
        <v>0</v>
      </c>
      <c r="AC9" s="32">
        <f t="shared" si="0"/>
        <v>112</v>
      </c>
      <c r="AD9" s="33">
        <f t="shared" si="1"/>
        <v>-56</v>
      </c>
      <c r="AE9" s="27">
        <v>151</v>
      </c>
      <c r="AF9" s="34">
        <f t="shared" si="2"/>
        <v>0.9693708609271523</v>
      </c>
      <c r="AG9" s="35">
        <f t="shared" si="14"/>
        <v>148.875</v>
      </c>
      <c r="AH9" s="34">
        <f t="shared" si="3"/>
        <v>0.95186118108032469</v>
      </c>
      <c r="AI9" s="36">
        <f t="shared" si="15"/>
        <v>1</v>
      </c>
      <c r="AJ9" s="37">
        <f t="shared" si="16"/>
        <v>1</v>
      </c>
      <c r="AK9" s="235">
        <v>8.202</v>
      </c>
      <c r="AL9" s="386">
        <v>146.43</v>
      </c>
      <c r="AM9" s="38">
        <f t="shared" si="4"/>
        <v>1201.0188600000001</v>
      </c>
      <c r="AN9" s="235">
        <v>29.5</v>
      </c>
      <c r="AO9" s="375">
        <v>979.38</v>
      </c>
      <c r="AP9" s="39">
        <f t="shared" si="5"/>
        <v>28891.71</v>
      </c>
      <c r="AQ9" s="201">
        <f t="shared" si="6"/>
        <v>8848.2001940605696</v>
      </c>
      <c r="AR9" s="198">
        <f t="shared" si="7"/>
        <v>144.04166666666666</v>
      </c>
      <c r="AS9" s="13"/>
      <c r="AT9" s="27">
        <v>0</v>
      </c>
      <c r="AU9" s="40">
        <v>0</v>
      </c>
      <c r="AV9" s="40">
        <v>0</v>
      </c>
      <c r="AW9" s="27">
        <v>0</v>
      </c>
      <c r="AX9" s="40">
        <v>0</v>
      </c>
      <c r="AY9" s="27">
        <v>0</v>
      </c>
      <c r="AZ9" s="27">
        <v>0</v>
      </c>
      <c r="BA9" s="4"/>
      <c r="BB9" s="41">
        <v>1024</v>
      </c>
      <c r="BC9" s="41">
        <v>1088</v>
      </c>
      <c r="BD9" s="41">
        <v>1401</v>
      </c>
      <c r="BE9" s="41">
        <f t="shared" si="8"/>
        <v>64</v>
      </c>
      <c r="BF9" s="41">
        <f t="shared" si="9"/>
        <v>8848.2001940605696</v>
      </c>
      <c r="BG9" s="42">
        <f t="shared" si="10"/>
        <v>58.375</v>
      </c>
      <c r="BH9" s="43">
        <v>2.0270000000000001</v>
      </c>
      <c r="BI9" s="44">
        <v>2.0270000000000001</v>
      </c>
      <c r="BJ9" s="45">
        <v>29.18</v>
      </c>
      <c r="BK9" s="46">
        <v>26.38</v>
      </c>
      <c r="BL9" s="45">
        <v>22.15</v>
      </c>
      <c r="BM9" s="45">
        <v>25.87</v>
      </c>
      <c r="BN9" s="47">
        <v>997.38</v>
      </c>
      <c r="BO9" s="45">
        <v>50.11</v>
      </c>
      <c r="BP9" s="53">
        <v>0.92700000000000005</v>
      </c>
      <c r="BQ9" s="45">
        <v>96.05</v>
      </c>
      <c r="BR9" s="45">
        <v>87.03</v>
      </c>
      <c r="BS9" s="49">
        <f t="shared" si="11"/>
        <v>-9.019999999999996</v>
      </c>
      <c r="BT9" s="50">
        <v>12111</v>
      </c>
      <c r="BU9" s="50">
        <v>11508</v>
      </c>
      <c r="BV9" s="51">
        <f t="shared" si="12"/>
        <v>-603</v>
      </c>
      <c r="BW9" s="41">
        <f t="shared" si="13"/>
        <v>4.0540000000000003</v>
      </c>
      <c r="BX9" s="42">
        <v>24</v>
      </c>
      <c r="BY9" s="42">
        <v>24</v>
      </c>
      <c r="CA9" s="42">
        <v>23.97</v>
      </c>
      <c r="CB9" s="42">
        <v>6.9</v>
      </c>
      <c r="CD9" s="42">
        <v>2.1</v>
      </c>
      <c r="CE9" s="42">
        <v>5</v>
      </c>
      <c r="CF9" s="57">
        <v>2.1</v>
      </c>
      <c r="CG9" s="42">
        <v>0</v>
      </c>
    </row>
    <row r="10" spans="1:85">
      <c r="A10" s="452"/>
      <c r="B10" s="24">
        <v>43378</v>
      </c>
      <c r="C10" s="25">
        <v>81.8</v>
      </c>
      <c r="D10" s="26">
        <v>0.54900000000000004</v>
      </c>
      <c r="E10" s="38">
        <v>65</v>
      </c>
      <c r="F10" s="27">
        <v>91</v>
      </c>
      <c r="G10" s="27">
        <v>73</v>
      </c>
      <c r="H10" s="28">
        <v>24</v>
      </c>
      <c r="I10" s="28">
        <v>0</v>
      </c>
      <c r="J10" s="28">
        <v>24</v>
      </c>
      <c r="K10" s="28">
        <v>0</v>
      </c>
      <c r="L10" s="29">
        <v>0</v>
      </c>
      <c r="M10" s="29">
        <v>0</v>
      </c>
      <c r="N10" s="29">
        <v>0</v>
      </c>
      <c r="O10" s="29">
        <v>0</v>
      </c>
      <c r="P10" s="29">
        <v>13</v>
      </c>
      <c r="Q10" s="29">
        <v>16</v>
      </c>
      <c r="R10" s="29">
        <v>3578</v>
      </c>
      <c r="S10" s="30">
        <v>3459</v>
      </c>
      <c r="T10" s="30">
        <v>3228</v>
      </c>
      <c r="U10" s="31">
        <v>3212</v>
      </c>
      <c r="V10" s="31">
        <v>3315</v>
      </c>
      <c r="W10" s="28">
        <v>42</v>
      </c>
      <c r="X10" s="28">
        <v>0</v>
      </c>
      <c r="Y10" s="28">
        <v>45</v>
      </c>
      <c r="Z10" s="28">
        <v>0</v>
      </c>
      <c r="AA10" s="28">
        <v>58</v>
      </c>
      <c r="AB10" s="27">
        <v>0</v>
      </c>
      <c r="AC10" s="32">
        <f t="shared" si="0"/>
        <v>103</v>
      </c>
      <c r="AD10" s="33">
        <f t="shared" si="1"/>
        <v>-16</v>
      </c>
      <c r="AE10" s="27">
        <v>148</v>
      </c>
      <c r="AF10" s="34">
        <f t="shared" si="2"/>
        <v>0.93327702702702697</v>
      </c>
      <c r="AG10" s="35">
        <f t="shared" si="14"/>
        <v>149.08333333333334</v>
      </c>
      <c r="AH10" s="34">
        <f t="shared" si="3"/>
        <v>0.89770821688093905</v>
      </c>
      <c r="AI10" s="36">
        <f t="shared" si="15"/>
        <v>1</v>
      </c>
      <c r="AJ10" s="37">
        <f t="shared" si="16"/>
        <v>0.95681992337164745</v>
      </c>
      <c r="AK10" s="235">
        <v>8.5350000000000001</v>
      </c>
      <c r="AL10" s="386">
        <v>167.85</v>
      </c>
      <c r="AM10" s="38">
        <f t="shared" si="4"/>
        <v>1432.5997500000001</v>
      </c>
      <c r="AN10" s="235">
        <v>26.933</v>
      </c>
      <c r="AO10" s="382">
        <v>976.9799131177366</v>
      </c>
      <c r="AP10" s="39">
        <f t="shared" si="5"/>
        <v>26313</v>
      </c>
      <c r="AQ10" s="201">
        <f t="shared" si="6"/>
        <v>8638.1070205479464</v>
      </c>
      <c r="AR10" s="198">
        <f t="shared" si="7"/>
        <v>144.125</v>
      </c>
      <c r="AS10" s="13"/>
      <c r="AT10" s="27">
        <v>0</v>
      </c>
      <c r="AU10" s="40">
        <v>0</v>
      </c>
      <c r="AV10" s="40">
        <v>0</v>
      </c>
      <c r="AW10" s="27">
        <v>0</v>
      </c>
      <c r="AX10" s="40">
        <v>14</v>
      </c>
      <c r="AY10" s="27">
        <v>644</v>
      </c>
      <c r="AZ10" s="27">
        <v>0</v>
      </c>
      <c r="BA10" s="4"/>
      <c r="BB10" s="41">
        <v>967</v>
      </c>
      <c r="BC10" s="41">
        <v>1094</v>
      </c>
      <c r="BD10" s="41">
        <v>1254</v>
      </c>
      <c r="BE10" s="41">
        <f t="shared" si="8"/>
        <v>127</v>
      </c>
      <c r="BF10" s="41">
        <f t="shared" si="9"/>
        <v>8638.1070205479464</v>
      </c>
      <c r="BG10" s="42">
        <f t="shared" si="10"/>
        <v>52.25</v>
      </c>
      <c r="BH10" s="43">
        <v>1.331</v>
      </c>
      <c r="BI10" s="44">
        <v>1.335</v>
      </c>
      <c r="BJ10" s="45">
        <v>29.23</v>
      </c>
      <c r="BK10" s="46">
        <v>25.27</v>
      </c>
      <c r="BL10" s="47">
        <v>21.71</v>
      </c>
      <c r="BM10" s="47">
        <v>28.53</v>
      </c>
      <c r="BN10" s="47">
        <v>1000.1</v>
      </c>
      <c r="BO10" s="45">
        <v>50.1</v>
      </c>
      <c r="BP10" s="48">
        <v>0.91979999999999995</v>
      </c>
      <c r="BQ10" s="42">
        <v>90.33</v>
      </c>
      <c r="BR10" s="42">
        <v>87.04</v>
      </c>
      <c r="BS10" s="49">
        <f t="shared" si="11"/>
        <v>-3.289999999999992</v>
      </c>
      <c r="BT10" s="50">
        <v>12283</v>
      </c>
      <c r="BU10" s="50">
        <v>11426</v>
      </c>
      <c r="BV10" s="51">
        <f t="shared" si="12"/>
        <v>-857</v>
      </c>
      <c r="BW10" s="41">
        <f t="shared" si="13"/>
        <v>2.6659999999999999</v>
      </c>
      <c r="BX10" s="62">
        <v>24</v>
      </c>
      <c r="BY10" s="42">
        <v>24</v>
      </c>
      <c r="CA10" s="42">
        <v>12.17</v>
      </c>
      <c r="CB10" s="42">
        <v>7.05</v>
      </c>
      <c r="CD10" s="42">
        <v>2.1</v>
      </c>
      <c r="CE10" s="42">
        <v>4.9000000000000004</v>
      </c>
      <c r="CF10" s="57">
        <v>2.1</v>
      </c>
      <c r="CG10" s="42">
        <v>0</v>
      </c>
    </row>
    <row r="11" spans="1:85">
      <c r="A11" s="452"/>
      <c r="B11" s="24">
        <v>43379</v>
      </c>
      <c r="C11" s="25">
        <v>83.3</v>
      </c>
      <c r="D11" s="26">
        <v>0.55200000000000005</v>
      </c>
      <c r="E11" s="38">
        <v>66.3</v>
      </c>
      <c r="F11" s="27">
        <v>94</v>
      </c>
      <c r="G11" s="27">
        <v>73</v>
      </c>
      <c r="H11" s="28">
        <v>24</v>
      </c>
      <c r="I11" s="28">
        <v>0</v>
      </c>
      <c r="J11" s="28">
        <v>24</v>
      </c>
      <c r="K11" s="28">
        <v>0</v>
      </c>
      <c r="L11" s="29">
        <v>0</v>
      </c>
      <c r="M11" s="29">
        <v>0</v>
      </c>
      <c r="N11" s="29">
        <v>0</v>
      </c>
      <c r="O11" s="29">
        <v>0</v>
      </c>
      <c r="P11" s="29">
        <v>7</v>
      </c>
      <c r="Q11" s="29">
        <v>17</v>
      </c>
      <c r="R11" s="29">
        <v>3562</v>
      </c>
      <c r="S11" s="30">
        <v>3381</v>
      </c>
      <c r="T11" s="30">
        <v>3152</v>
      </c>
      <c r="U11" s="31">
        <v>3125</v>
      </c>
      <c r="V11" s="31">
        <v>3223</v>
      </c>
      <c r="W11" s="28">
        <v>42</v>
      </c>
      <c r="X11" s="28">
        <v>0</v>
      </c>
      <c r="Y11" s="28">
        <v>45</v>
      </c>
      <c r="Z11" s="28">
        <v>0</v>
      </c>
      <c r="AA11" s="28">
        <v>58</v>
      </c>
      <c r="AB11" s="27">
        <v>0</v>
      </c>
      <c r="AC11" s="32">
        <f t="shared" si="0"/>
        <v>98</v>
      </c>
      <c r="AD11" s="33">
        <f t="shared" si="1"/>
        <v>-27</v>
      </c>
      <c r="AE11" s="27">
        <v>149</v>
      </c>
      <c r="AF11" s="34">
        <f t="shared" si="2"/>
        <v>0.90128635346756147</v>
      </c>
      <c r="AG11" s="35">
        <f t="shared" si="14"/>
        <v>148.41666666666666</v>
      </c>
      <c r="AH11" s="34">
        <f t="shared" si="3"/>
        <v>0.87731611454239189</v>
      </c>
      <c r="AI11" s="36">
        <f t="shared" si="15"/>
        <v>1</v>
      </c>
      <c r="AJ11" s="37">
        <f t="shared" si="16"/>
        <v>0.93274904214559384</v>
      </c>
      <c r="AK11" s="235">
        <v>8.5009999999999994</v>
      </c>
      <c r="AL11" s="386">
        <v>171.51</v>
      </c>
      <c r="AM11" s="38">
        <f t="shared" si="4"/>
        <v>1458.0065099999999</v>
      </c>
      <c r="AN11" s="235">
        <v>25.835000000000001</v>
      </c>
      <c r="AO11" s="382">
        <v>987.41600000000005</v>
      </c>
      <c r="AP11" s="39">
        <f t="shared" si="5"/>
        <v>25509.892360000002</v>
      </c>
      <c r="AQ11" s="201">
        <f t="shared" si="6"/>
        <v>8629.7276383999997</v>
      </c>
      <c r="AR11" s="198">
        <f t="shared" si="7"/>
        <v>140.875</v>
      </c>
      <c r="AS11" s="13"/>
      <c r="AT11" s="27">
        <v>0</v>
      </c>
      <c r="AU11" s="40">
        <v>0</v>
      </c>
      <c r="AV11" s="40">
        <v>0</v>
      </c>
      <c r="AW11" s="27">
        <v>0</v>
      </c>
      <c r="AX11" s="40">
        <v>14</v>
      </c>
      <c r="AY11" s="27">
        <v>1003</v>
      </c>
      <c r="AZ11" s="27">
        <v>0</v>
      </c>
      <c r="BA11" s="4"/>
      <c r="BB11" s="41">
        <v>973</v>
      </c>
      <c r="BC11" s="41">
        <v>1090</v>
      </c>
      <c r="BD11" s="41">
        <v>1160</v>
      </c>
      <c r="BE11" s="41">
        <f t="shared" si="8"/>
        <v>117</v>
      </c>
      <c r="BF11" s="41">
        <f t="shared" si="9"/>
        <v>8629.7276383999997</v>
      </c>
      <c r="BG11" s="42">
        <f t="shared" si="10"/>
        <v>48.333333333333336</v>
      </c>
      <c r="BH11" s="43">
        <v>0.85699999999999998</v>
      </c>
      <c r="BI11" s="44">
        <v>0.77300000000000002</v>
      </c>
      <c r="BJ11" s="45">
        <v>28.6</v>
      </c>
      <c r="BK11" s="46">
        <v>25</v>
      </c>
      <c r="BL11" s="47">
        <v>21.37</v>
      </c>
      <c r="BM11" s="47">
        <v>28.18</v>
      </c>
      <c r="BN11" s="47">
        <v>999.08</v>
      </c>
      <c r="BO11" s="45">
        <v>50.08</v>
      </c>
      <c r="BP11" s="48">
        <v>0.91879999999999995</v>
      </c>
      <c r="BQ11" s="54">
        <v>91.33</v>
      </c>
      <c r="BR11" s="54">
        <v>87.09</v>
      </c>
      <c r="BS11" s="49">
        <f t="shared" si="11"/>
        <v>-4.2399999999999949</v>
      </c>
      <c r="BT11" s="55">
        <v>12084</v>
      </c>
      <c r="BU11" s="55">
        <v>11299</v>
      </c>
      <c r="BV11" s="51">
        <f t="shared" si="12"/>
        <v>-785</v>
      </c>
      <c r="BW11" s="41">
        <f t="shared" si="13"/>
        <v>1.63</v>
      </c>
      <c r="BX11" s="42">
        <v>17.25</v>
      </c>
      <c r="BY11" s="42">
        <v>17.25</v>
      </c>
      <c r="CA11" s="42">
        <v>15.55</v>
      </c>
      <c r="CB11" s="42">
        <v>4.83</v>
      </c>
      <c r="CD11" s="42">
        <v>2.1</v>
      </c>
      <c r="CE11" s="42">
        <v>5</v>
      </c>
      <c r="CF11" s="57">
        <v>2.1</v>
      </c>
      <c r="CG11" s="57">
        <v>0</v>
      </c>
    </row>
    <row r="12" spans="1:85">
      <c r="A12" s="453"/>
      <c r="B12" s="24">
        <v>43380</v>
      </c>
      <c r="C12" s="25">
        <v>82.84</v>
      </c>
      <c r="D12" s="26">
        <v>0.5978</v>
      </c>
      <c r="E12" s="38">
        <v>67.900000000000006</v>
      </c>
      <c r="F12" s="27">
        <v>94.8</v>
      </c>
      <c r="G12" s="27">
        <v>72.760000000000005</v>
      </c>
      <c r="H12" s="28">
        <v>22</v>
      </c>
      <c r="I12" s="28">
        <v>16</v>
      </c>
      <c r="J12" s="28">
        <v>24</v>
      </c>
      <c r="K12" s="28">
        <v>0</v>
      </c>
      <c r="L12" s="29">
        <v>1</v>
      </c>
      <c r="M12" s="29">
        <v>26</v>
      </c>
      <c r="N12" s="29">
        <v>0</v>
      </c>
      <c r="O12" s="29">
        <v>0</v>
      </c>
      <c r="P12" s="29">
        <v>2</v>
      </c>
      <c r="Q12" s="29">
        <v>50</v>
      </c>
      <c r="R12" s="29">
        <v>3566</v>
      </c>
      <c r="S12" s="30">
        <v>3184</v>
      </c>
      <c r="T12" s="30">
        <v>3031</v>
      </c>
      <c r="U12" s="31">
        <v>2983</v>
      </c>
      <c r="V12" s="31">
        <v>3079</v>
      </c>
      <c r="W12" s="28">
        <v>42</v>
      </c>
      <c r="X12" s="28">
        <v>0</v>
      </c>
      <c r="Y12" s="28">
        <v>45</v>
      </c>
      <c r="Z12" s="28">
        <v>0</v>
      </c>
      <c r="AA12" s="28">
        <v>58</v>
      </c>
      <c r="AB12" s="27">
        <v>0</v>
      </c>
      <c r="AC12" s="32">
        <f t="shared" si="0"/>
        <v>96</v>
      </c>
      <c r="AD12" s="33">
        <f t="shared" si="1"/>
        <v>-48</v>
      </c>
      <c r="AE12" s="27">
        <v>149</v>
      </c>
      <c r="AF12" s="34">
        <f t="shared" si="2"/>
        <v>0.86101789709172261</v>
      </c>
      <c r="AG12" s="35">
        <f t="shared" si="14"/>
        <v>148.58333333333334</v>
      </c>
      <c r="AH12" s="34">
        <f t="shared" si="3"/>
        <v>0.83651149747616382</v>
      </c>
      <c r="AI12" s="36">
        <f t="shared" si="15"/>
        <v>1</v>
      </c>
      <c r="AJ12" s="37">
        <f t="shared" si="16"/>
        <v>0.90138888888888891</v>
      </c>
      <c r="AK12" s="235">
        <v>8.4819999999999993</v>
      </c>
      <c r="AL12" s="386">
        <v>166.19</v>
      </c>
      <c r="AM12" s="38">
        <f t="shared" si="4"/>
        <v>1409.6235799999999</v>
      </c>
      <c r="AN12" s="235">
        <v>24.481000000000002</v>
      </c>
      <c r="AO12" s="382">
        <v>991.63</v>
      </c>
      <c r="AP12" s="39">
        <f t="shared" si="5"/>
        <v>24276.09403</v>
      </c>
      <c r="AQ12" s="201">
        <f t="shared" si="6"/>
        <v>8610.6998357358352</v>
      </c>
      <c r="AR12" s="198">
        <f t="shared" si="7"/>
        <v>132.66666666666666</v>
      </c>
      <c r="AS12" s="13"/>
      <c r="AT12" s="27">
        <v>15</v>
      </c>
      <c r="AU12" s="40">
        <v>18</v>
      </c>
      <c r="AV12" s="40">
        <v>0</v>
      </c>
      <c r="AW12" s="27">
        <v>0</v>
      </c>
      <c r="AX12" s="40">
        <v>16</v>
      </c>
      <c r="AY12" s="27">
        <v>1270</v>
      </c>
      <c r="AZ12" s="27">
        <v>0</v>
      </c>
      <c r="BA12" s="4"/>
      <c r="BB12" s="41">
        <v>940</v>
      </c>
      <c r="BC12" s="41">
        <v>1087</v>
      </c>
      <c r="BD12" s="41">
        <v>1052</v>
      </c>
      <c r="BE12" s="41">
        <f t="shared" si="8"/>
        <v>147</v>
      </c>
      <c r="BF12" s="41">
        <f t="shared" si="9"/>
        <v>8610.6998357358352</v>
      </c>
      <c r="BG12" s="42">
        <f t="shared" si="10"/>
        <v>43.833333333333336</v>
      </c>
      <c r="BH12" s="43">
        <v>0.17699999999999999</v>
      </c>
      <c r="BI12" s="44">
        <v>0.309</v>
      </c>
      <c r="BJ12" s="45">
        <v>26.21</v>
      </c>
      <c r="BK12" s="46">
        <v>25.28</v>
      </c>
      <c r="BL12" s="47">
        <v>21.3</v>
      </c>
      <c r="BM12" s="47">
        <v>27.67</v>
      </c>
      <c r="BN12" s="47">
        <v>997.5</v>
      </c>
      <c r="BO12" s="45">
        <v>50.12</v>
      </c>
      <c r="BP12" s="48">
        <v>0.92069999999999996</v>
      </c>
      <c r="BQ12" s="54">
        <v>94.6</v>
      </c>
      <c r="BR12" s="54">
        <v>87.15</v>
      </c>
      <c r="BS12" s="49">
        <f t="shared" si="11"/>
        <v>-7.4499999999999886</v>
      </c>
      <c r="BT12" s="56">
        <v>12121</v>
      </c>
      <c r="BU12" s="56">
        <v>11259</v>
      </c>
      <c r="BV12" s="51">
        <f t="shared" si="12"/>
        <v>-862</v>
      </c>
      <c r="BW12" s="41">
        <f t="shared" si="13"/>
        <v>0.48599999999999999</v>
      </c>
      <c r="BX12" s="57">
        <v>2.92</v>
      </c>
      <c r="BY12" s="57">
        <v>4.633</v>
      </c>
      <c r="CA12" s="57">
        <v>19.87</v>
      </c>
      <c r="CB12" s="57">
        <v>4.83</v>
      </c>
      <c r="CD12" s="57">
        <v>2.1</v>
      </c>
      <c r="CE12" s="57">
        <v>4.9000000000000004</v>
      </c>
      <c r="CF12" s="57">
        <v>2.1</v>
      </c>
      <c r="CG12" s="57">
        <v>0</v>
      </c>
    </row>
    <row r="13" spans="1:85" ht="15" customHeight="1">
      <c r="A13" s="451" t="s">
        <v>298</v>
      </c>
      <c r="B13" s="24">
        <v>43381</v>
      </c>
      <c r="C13" s="157">
        <v>82.4</v>
      </c>
      <c r="D13" s="158">
        <v>0.624</v>
      </c>
      <c r="E13" s="171">
        <v>68.7</v>
      </c>
      <c r="F13" s="159">
        <v>94</v>
      </c>
      <c r="G13" s="159">
        <v>73</v>
      </c>
      <c r="H13" s="160">
        <v>12</v>
      </c>
      <c r="I13" s="160">
        <v>47</v>
      </c>
      <c r="J13" s="160">
        <v>24</v>
      </c>
      <c r="K13" s="160">
        <v>0</v>
      </c>
      <c r="L13" s="161">
        <v>10</v>
      </c>
      <c r="M13" s="161">
        <v>27</v>
      </c>
      <c r="N13" s="161">
        <v>0</v>
      </c>
      <c r="O13" s="161">
        <v>0</v>
      </c>
      <c r="P13" s="161">
        <v>12</v>
      </c>
      <c r="Q13" s="161">
        <v>32</v>
      </c>
      <c r="R13" s="162">
        <v>3571</v>
      </c>
      <c r="S13" s="163">
        <v>3377</v>
      </c>
      <c r="T13" s="163">
        <v>2609</v>
      </c>
      <c r="U13" s="164">
        <v>2583</v>
      </c>
      <c r="V13" s="164">
        <v>2679</v>
      </c>
      <c r="W13" s="159">
        <v>42</v>
      </c>
      <c r="X13" s="159">
        <v>0</v>
      </c>
      <c r="Y13" s="159">
        <v>45</v>
      </c>
      <c r="Z13" s="159">
        <v>0</v>
      </c>
      <c r="AA13" s="159">
        <v>58</v>
      </c>
      <c r="AB13" s="159">
        <v>0</v>
      </c>
      <c r="AC13" s="165">
        <f t="shared" si="0"/>
        <v>96</v>
      </c>
      <c r="AD13" s="166">
        <f t="shared" si="1"/>
        <v>-26</v>
      </c>
      <c r="AE13" s="159">
        <v>147</v>
      </c>
      <c r="AF13" s="167">
        <f t="shared" si="2"/>
        <v>0.75935374149659862</v>
      </c>
      <c r="AG13" s="168">
        <f t="shared" si="14"/>
        <v>148.79166666666666</v>
      </c>
      <c r="AH13" s="167">
        <f t="shared" si="3"/>
        <v>0.72332679921590592</v>
      </c>
      <c r="AI13" s="169">
        <f t="shared" si="15"/>
        <v>1</v>
      </c>
      <c r="AJ13" s="170">
        <f t="shared" si="16"/>
        <v>0.89300766283524902</v>
      </c>
      <c r="AK13" s="376">
        <v>8.4830000000000005</v>
      </c>
      <c r="AL13" s="387">
        <v>166.63</v>
      </c>
      <c r="AM13" s="368">
        <f t="shared" si="4"/>
        <v>1413.5222900000001</v>
      </c>
      <c r="AN13" s="376">
        <v>21.204999999999998</v>
      </c>
      <c r="AO13" s="379">
        <v>1006.178</v>
      </c>
      <c r="AP13" s="172">
        <f t="shared" si="5"/>
        <v>21336.004489999999</v>
      </c>
      <c r="AQ13" s="202">
        <f t="shared" si="6"/>
        <v>8807.4048703058452</v>
      </c>
      <c r="AR13" s="199">
        <f t="shared" si="7"/>
        <v>140.70833333333334</v>
      </c>
      <c r="AS13" s="13"/>
      <c r="AT13" s="173">
        <v>22</v>
      </c>
      <c r="AU13" s="159">
        <v>46</v>
      </c>
      <c r="AV13" s="174">
        <v>0</v>
      </c>
      <c r="AW13" s="174">
        <v>0</v>
      </c>
      <c r="AX13" s="159">
        <v>31</v>
      </c>
      <c r="AY13" s="174">
        <v>688</v>
      </c>
      <c r="AZ13" s="159">
        <v>0</v>
      </c>
      <c r="BA13" s="4"/>
      <c r="BB13" s="159">
        <v>544</v>
      </c>
      <c r="BC13" s="159">
        <v>1081</v>
      </c>
      <c r="BD13" s="159">
        <v>1054</v>
      </c>
      <c r="BE13" s="175">
        <f t="shared" si="8"/>
        <v>537</v>
      </c>
      <c r="BF13" s="176">
        <f t="shared" si="9"/>
        <v>8807.4048703058452</v>
      </c>
      <c r="BG13" s="177">
        <f t="shared" si="10"/>
        <v>43.916666666666664</v>
      </c>
      <c r="BH13" s="178">
        <v>1.1200000000000001</v>
      </c>
      <c r="BI13" s="156">
        <v>1.7869999999999999</v>
      </c>
      <c r="BJ13" s="177">
        <v>28.41</v>
      </c>
      <c r="BK13" s="175">
        <v>13.74</v>
      </c>
      <c r="BL13" s="175">
        <v>21.07</v>
      </c>
      <c r="BM13" s="175">
        <v>27.56</v>
      </c>
      <c r="BN13" s="175">
        <v>994.96</v>
      </c>
      <c r="BO13" s="177">
        <v>50.12</v>
      </c>
      <c r="BP13" s="180">
        <v>0.92059999999999997</v>
      </c>
      <c r="BQ13" s="186">
        <v>95.83</v>
      </c>
      <c r="BR13" s="186">
        <v>87.21</v>
      </c>
      <c r="BS13" s="49">
        <f t="shared" si="11"/>
        <v>-8.6200000000000045</v>
      </c>
      <c r="BT13" s="179">
        <v>11580</v>
      </c>
      <c r="BU13" s="179">
        <v>11203</v>
      </c>
      <c r="BV13" s="51">
        <f t="shared" si="12"/>
        <v>-377</v>
      </c>
      <c r="BW13" s="175">
        <f t="shared" si="13"/>
        <v>2.907</v>
      </c>
      <c r="BX13" s="177">
        <v>12.7</v>
      </c>
      <c r="BY13" s="177">
        <v>24</v>
      </c>
      <c r="CA13" s="177">
        <v>11.8</v>
      </c>
      <c r="CB13" s="177">
        <v>5.62</v>
      </c>
      <c r="CD13" s="177">
        <v>2.1</v>
      </c>
      <c r="CE13" s="177">
        <v>5</v>
      </c>
      <c r="CF13" s="177">
        <v>2</v>
      </c>
      <c r="CG13" s="177">
        <v>0</v>
      </c>
    </row>
    <row r="14" spans="1:85">
      <c r="A14" s="452"/>
      <c r="B14" s="24">
        <v>43382</v>
      </c>
      <c r="C14" s="157">
        <v>77.400000000000006</v>
      </c>
      <c r="D14" s="197">
        <v>0.58699999999999997</v>
      </c>
      <c r="E14" s="171">
        <v>63.5</v>
      </c>
      <c r="F14" s="159">
        <v>88</v>
      </c>
      <c r="G14" s="159">
        <v>69</v>
      </c>
      <c r="H14" s="160">
        <v>0</v>
      </c>
      <c r="I14" s="160">
        <v>38</v>
      </c>
      <c r="J14" s="160">
        <v>12</v>
      </c>
      <c r="K14" s="160">
        <v>1</v>
      </c>
      <c r="L14" s="161">
        <v>22</v>
      </c>
      <c r="M14" s="161">
        <v>21</v>
      </c>
      <c r="N14" s="161">
        <v>6</v>
      </c>
      <c r="O14" s="161">
        <v>50</v>
      </c>
      <c r="P14" s="161">
        <v>0</v>
      </c>
      <c r="Q14" s="161">
        <v>25</v>
      </c>
      <c r="R14" s="162">
        <v>3617</v>
      </c>
      <c r="S14" s="163">
        <v>3169</v>
      </c>
      <c r="T14" s="163">
        <v>998</v>
      </c>
      <c r="U14" s="164">
        <v>998</v>
      </c>
      <c r="V14" s="164">
        <v>1046</v>
      </c>
      <c r="W14" s="159">
        <v>42</v>
      </c>
      <c r="X14" s="159">
        <v>0</v>
      </c>
      <c r="Y14" s="159">
        <v>45</v>
      </c>
      <c r="Z14" s="159">
        <v>0</v>
      </c>
      <c r="AA14" s="159">
        <v>58</v>
      </c>
      <c r="AB14" s="159">
        <v>0</v>
      </c>
      <c r="AC14" s="165">
        <f t="shared" si="0"/>
        <v>55</v>
      </c>
      <c r="AD14" s="166">
        <f t="shared" si="1"/>
        <v>0</v>
      </c>
      <c r="AE14" s="159">
        <v>131</v>
      </c>
      <c r="AF14" s="167">
        <f t="shared" si="2"/>
        <v>0.33269720101781169</v>
      </c>
      <c r="AG14" s="168">
        <f t="shared" si="14"/>
        <v>150.70833333333334</v>
      </c>
      <c r="AH14" s="167">
        <f t="shared" si="3"/>
        <v>0.2759192701133536</v>
      </c>
      <c r="AI14" s="169">
        <f t="shared" si="15"/>
        <v>1</v>
      </c>
      <c r="AJ14" s="170">
        <f t="shared" si="16"/>
        <v>0.85896072796934864</v>
      </c>
      <c r="AK14" s="376">
        <v>5.8719999999999999</v>
      </c>
      <c r="AL14" s="387">
        <v>170.21</v>
      </c>
      <c r="AM14" s="368">
        <f t="shared" si="4"/>
        <v>999.47311999999999</v>
      </c>
      <c r="AN14" s="376">
        <v>8.1509999999999998</v>
      </c>
      <c r="AO14" s="379">
        <v>1011.657</v>
      </c>
      <c r="AP14" s="172">
        <f t="shared" si="5"/>
        <v>8246.0162070000006</v>
      </c>
      <c r="AQ14" s="202">
        <f t="shared" si="6"/>
        <v>9264.0173617234468</v>
      </c>
      <c r="AR14" s="199">
        <f t="shared" si="7"/>
        <v>132.04166666666666</v>
      </c>
      <c r="AS14" s="13"/>
      <c r="AT14" s="173">
        <v>20</v>
      </c>
      <c r="AU14" s="159">
        <v>61</v>
      </c>
      <c r="AV14" s="174">
        <v>17</v>
      </c>
      <c r="AW14" s="174">
        <v>309</v>
      </c>
      <c r="AX14" s="159">
        <v>32</v>
      </c>
      <c r="AY14" s="174">
        <v>718</v>
      </c>
      <c r="AZ14" s="159">
        <v>7</v>
      </c>
      <c r="BA14" s="4"/>
      <c r="BB14" s="159">
        <v>46</v>
      </c>
      <c r="BC14" s="159">
        <v>711</v>
      </c>
      <c r="BD14" s="159">
        <v>289</v>
      </c>
      <c r="BE14" s="175">
        <f t="shared" si="8"/>
        <v>665</v>
      </c>
      <c r="BF14" s="176">
        <f t="shared" si="9"/>
        <v>9264.0173617234468</v>
      </c>
      <c r="BG14" s="177">
        <f t="shared" si="10"/>
        <v>12.041666666666666</v>
      </c>
      <c r="BH14" s="178">
        <v>0.09</v>
      </c>
      <c r="BI14" s="156">
        <v>0.4</v>
      </c>
      <c r="BJ14" s="177">
        <v>0</v>
      </c>
      <c r="BK14" s="175">
        <v>1.54</v>
      </c>
      <c r="BL14" s="175">
        <v>14.2</v>
      </c>
      <c r="BM14" s="175">
        <v>19.93</v>
      </c>
      <c r="BN14" s="179">
        <v>996.7</v>
      </c>
      <c r="BO14" s="179">
        <v>50.06</v>
      </c>
      <c r="BP14" s="180">
        <v>0.91930000000000001</v>
      </c>
      <c r="BQ14" s="177">
        <v>87.8</v>
      </c>
      <c r="BR14" s="177">
        <v>86.9</v>
      </c>
      <c r="BS14" s="49">
        <f t="shared" si="11"/>
        <v>-0.89999999999999147</v>
      </c>
      <c r="BT14" s="175">
        <v>12451</v>
      </c>
      <c r="BU14" s="175">
        <v>11212</v>
      </c>
      <c r="BV14" s="51">
        <f t="shared" si="12"/>
        <v>-1239</v>
      </c>
      <c r="BW14" s="175">
        <f t="shared" si="13"/>
        <v>0.49</v>
      </c>
      <c r="BX14" s="177">
        <v>0.6</v>
      </c>
      <c r="BY14" s="177">
        <v>3.8</v>
      </c>
      <c r="CA14" s="177">
        <v>0</v>
      </c>
      <c r="CB14" s="177">
        <v>0</v>
      </c>
      <c r="CD14" s="177">
        <v>2</v>
      </c>
      <c r="CE14" s="177">
        <v>3.7</v>
      </c>
      <c r="CF14" s="177">
        <v>2</v>
      </c>
      <c r="CG14" s="177">
        <v>-0.7</v>
      </c>
    </row>
    <row r="15" spans="1:85">
      <c r="A15" s="452"/>
      <c r="B15" s="24">
        <v>43383</v>
      </c>
      <c r="C15" s="157">
        <v>79</v>
      </c>
      <c r="D15" s="197">
        <v>0.53</v>
      </c>
      <c r="E15" s="171">
        <v>63</v>
      </c>
      <c r="F15" s="159">
        <v>92</v>
      </c>
      <c r="G15" s="159">
        <v>69</v>
      </c>
      <c r="H15" s="160">
        <v>7</v>
      </c>
      <c r="I15" s="160">
        <v>41</v>
      </c>
      <c r="J15" s="160">
        <v>24</v>
      </c>
      <c r="K15" s="160">
        <v>0</v>
      </c>
      <c r="L15" s="161">
        <v>15</v>
      </c>
      <c r="M15" s="161">
        <v>35</v>
      </c>
      <c r="N15" s="161">
        <v>0</v>
      </c>
      <c r="O15" s="161">
        <v>0</v>
      </c>
      <c r="P15" s="161">
        <v>7</v>
      </c>
      <c r="Q15" s="161">
        <v>29</v>
      </c>
      <c r="R15" s="162">
        <v>3604</v>
      </c>
      <c r="S15" s="163">
        <v>3528</v>
      </c>
      <c r="T15" s="163">
        <v>2254</v>
      </c>
      <c r="U15" s="164">
        <v>2235</v>
      </c>
      <c r="V15" s="164">
        <v>2322</v>
      </c>
      <c r="W15" s="159">
        <v>43</v>
      </c>
      <c r="X15" s="159">
        <v>0</v>
      </c>
      <c r="Y15" s="159">
        <v>46</v>
      </c>
      <c r="Z15" s="159">
        <v>0</v>
      </c>
      <c r="AA15" s="159">
        <v>58</v>
      </c>
      <c r="AB15" s="159">
        <v>0</v>
      </c>
      <c r="AC15" s="165">
        <f t="shared" si="0"/>
        <v>87</v>
      </c>
      <c r="AD15" s="166">
        <f t="shared" si="1"/>
        <v>-19</v>
      </c>
      <c r="AE15" s="159">
        <v>148</v>
      </c>
      <c r="AF15" s="167">
        <f t="shared" si="2"/>
        <v>0.65371621621621623</v>
      </c>
      <c r="AG15" s="168">
        <f t="shared" si="14"/>
        <v>150.16666666666666</v>
      </c>
      <c r="AH15" s="167">
        <f t="shared" si="3"/>
        <v>0.62014428412874589</v>
      </c>
      <c r="AI15" s="169">
        <f t="shared" si="15"/>
        <v>1</v>
      </c>
      <c r="AJ15" s="170">
        <f t="shared" si="16"/>
        <v>0.84520030234315946</v>
      </c>
      <c r="AK15" s="376">
        <v>8.4090000000000007</v>
      </c>
      <c r="AL15" s="387">
        <v>169.97</v>
      </c>
      <c r="AM15" s="368">
        <f t="shared" si="4"/>
        <v>1429.27773</v>
      </c>
      <c r="AN15" s="376">
        <v>17.824999999999999</v>
      </c>
      <c r="AO15" s="379">
        <v>1016.662</v>
      </c>
      <c r="AP15" s="172">
        <f t="shared" si="5"/>
        <v>18122.00015</v>
      </c>
      <c r="AQ15" s="202">
        <f t="shared" si="6"/>
        <v>8747.7753378076068</v>
      </c>
      <c r="AR15" s="199">
        <f t="shared" si="7"/>
        <v>147</v>
      </c>
      <c r="AS15" s="13"/>
      <c r="AT15" s="182">
        <v>24</v>
      </c>
      <c r="AU15" s="159">
        <v>44</v>
      </c>
      <c r="AV15" s="174">
        <v>0</v>
      </c>
      <c r="AW15" s="174">
        <v>0</v>
      </c>
      <c r="AX15" s="159">
        <v>32</v>
      </c>
      <c r="AY15" s="174">
        <v>991</v>
      </c>
      <c r="AZ15" s="159">
        <v>0</v>
      </c>
      <c r="BA15" s="4"/>
      <c r="BB15" s="159">
        <v>343</v>
      </c>
      <c r="BC15" s="159">
        <v>1108</v>
      </c>
      <c r="BD15" s="159">
        <v>871</v>
      </c>
      <c r="BE15" s="175">
        <f t="shared" si="8"/>
        <v>765</v>
      </c>
      <c r="BF15" s="176">
        <f t="shared" si="9"/>
        <v>8747.7753378076068</v>
      </c>
      <c r="BG15" s="177">
        <f t="shared" si="10"/>
        <v>36.291666666666664</v>
      </c>
      <c r="BH15" s="178">
        <v>0.6</v>
      </c>
      <c r="BI15" s="156">
        <v>1.52</v>
      </c>
      <c r="BJ15" s="177">
        <v>30.3</v>
      </c>
      <c r="BK15" s="175">
        <v>8.76</v>
      </c>
      <c r="BL15" s="175">
        <v>21.33</v>
      </c>
      <c r="BM15" s="175">
        <v>27.65</v>
      </c>
      <c r="BN15" s="179">
        <v>997.1</v>
      </c>
      <c r="BO15" s="179">
        <v>50.08</v>
      </c>
      <c r="BP15" s="180">
        <v>0.92030000000000001</v>
      </c>
      <c r="BQ15" s="177">
        <v>96.28</v>
      </c>
      <c r="BR15" s="177">
        <v>86.85</v>
      </c>
      <c r="BS15" s="49">
        <f t="shared" si="11"/>
        <v>-9.4300000000000068</v>
      </c>
      <c r="BT15" s="175">
        <v>11523</v>
      </c>
      <c r="BU15" s="175">
        <v>11045</v>
      </c>
      <c r="BV15" s="51">
        <f t="shared" si="12"/>
        <v>-478</v>
      </c>
      <c r="BW15" s="175">
        <f t="shared" si="13"/>
        <v>2.12</v>
      </c>
      <c r="BX15" s="177">
        <v>7.8</v>
      </c>
      <c r="BY15" s="177">
        <v>24</v>
      </c>
      <c r="CA15" s="177">
        <v>6.8</v>
      </c>
      <c r="CB15" s="177">
        <v>6.1</v>
      </c>
      <c r="CD15" s="177">
        <v>2</v>
      </c>
      <c r="CE15" s="177">
        <v>5</v>
      </c>
      <c r="CF15" s="177">
        <v>2.1</v>
      </c>
      <c r="CG15" s="177">
        <v>-0.7</v>
      </c>
    </row>
    <row r="16" spans="1:85">
      <c r="A16" s="452"/>
      <c r="B16" s="24">
        <v>43384</v>
      </c>
      <c r="C16" s="157">
        <v>80</v>
      </c>
      <c r="D16" s="197">
        <v>0.53</v>
      </c>
      <c r="E16" s="171">
        <v>63</v>
      </c>
      <c r="F16" s="183">
        <v>91</v>
      </c>
      <c r="G16" s="183">
        <v>69</v>
      </c>
      <c r="H16" s="160">
        <v>16</v>
      </c>
      <c r="I16" s="160">
        <v>52</v>
      </c>
      <c r="J16" s="160">
        <v>16</v>
      </c>
      <c r="K16" s="160">
        <v>52</v>
      </c>
      <c r="L16" s="161">
        <v>0</v>
      </c>
      <c r="M16" s="161">
        <v>0</v>
      </c>
      <c r="N16" s="161">
        <v>0</v>
      </c>
      <c r="O16" s="161">
        <v>0</v>
      </c>
      <c r="P16" s="161">
        <v>16</v>
      </c>
      <c r="Q16" s="161">
        <v>36</v>
      </c>
      <c r="R16" s="162">
        <v>3596</v>
      </c>
      <c r="S16" s="163">
        <v>3506</v>
      </c>
      <c r="T16" s="163">
        <v>3175</v>
      </c>
      <c r="U16" s="164">
        <v>3141</v>
      </c>
      <c r="V16" s="164">
        <v>3244</v>
      </c>
      <c r="W16" s="159">
        <v>43</v>
      </c>
      <c r="X16" s="183">
        <v>0</v>
      </c>
      <c r="Y16" s="183">
        <v>46</v>
      </c>
      <c r="Z16" s="183">
        <v>0</v>
      </c>
      <c r="AA16" s="183">
        <v>58</v>
      </c>
      <c r="AB16" s="183">
        <v>0</v>
      </c>
      <c r="AC16" s="165">
        <f t="shared" si="0"/>
        <v>103</v>
      </c>
      <c r="AD16" s="166">
        <f t="shared" si="1"/>
        <v>-34</v>
      </c>
      <c r="AE16" s="159">
        <v>149</v>
      </c>
      <c r="AF16" s="167">
        <f t="shared" si="2"/>
        <v>0.90715883668903807</v>
      </c>
      <c r="AG16" s="168">
        <f t="shared" si="14"/>
        <v>149.83333333333334</v>
      </c>
      <c r="AH16" s="167">
        <f t="shared" si="3"/>
        <v>0.87347052280311455</v>
      </c>
      <c r="AI16" s="169">
        <f t="shared" si="15"/>
        <v>1</v>
      </c>
      <c r="AJ16" s="170">
        <f t="shared" si="16"/>
        <v>0.89446334089191226</v>
      </c>
      <c r="AK16" s="376">
        <v>8.3539999999999992</v>
      </c>
      <c r="AL16" s="387">
        <v>170.24</v>
      </c>
      <c r="AM16" s="368">
        <f t="shared" si="4"/>
        <v>1422.18496</v>
      </c>
      <c r="AN16" s="376">
        <v>25.512</v>
      </c>
      <c r="AO16" s="379">
        <v>1017.874</v>
      </c>
      <c r="AP16" s="172">
        <f t="shared" si="5"/>
        <v>25968.001488000002</v>
      </c>
      <c r="AQ16" s="202">
        <f t="shared" si="6"/>
        <v>8720.2121770136891</v>
      </c>
      <c r="AR16" s="199">
        <f t="shared" si="7"/>
        <v>146.08333333333334</v>
      </c>
      <c r="AS16" s="13"/>
      <c r="AT16" s="159">
        <v>10</v>
      </c>
      <c r="AU16" s="174">
        <v>428</v>
      </c>
      <c r="AV16" s="174">
        <v>9</v>
      </c>
      <c r="AW16" s="159">
        <v>428</v>
      </c>
      <c r="AX16" s="174">
        <v>32</v>
      </c>
      <c r="AY16" s="159">
        <v>444</v>
      </c>
      <c r="AZ16" s="159">
        <v>0</v>
      </c>
      <c r="BA16" s="4"/>
      <c r="BB16" s="175">
        <v>968</v>
      </c>
      <c r="BC16" s="175">
        <v>1043</v>
      </c>
      <c r="BD16" s="184">
        <v>1233</v>
      </c>
      <c r="BE16" s="175">
        <f t="shared" si="8"/>
        <v>75</v>
      </c>
      <c r="BF16" s="177">
        <f t="shared" si="9"/>
        <v>8720.2121770136891</v>
      </c>
      <c r="BG16" s="177">
        <f t="shared" si="10"/>
        <v>51.375</v>
      </c>
      <c r="BH16" s="178">
        <v>1.1870000000000001</v>
      </c>
      <c r="BI16" s="156">
        <v>1.246</v>
      </c>
      <c r="BJ16" s="177">
        <v>29.3</v>
      </c>
      <c r="BK16" s="175">
        <v>24.2</v>
      </c>
      <c r="BL16" s="175">
        <v>20.3</v>
      </c>
      <c r="BM16" s="175">
        <v>27.57</v>
      </c>
      <c r="BN16" s="179">
        <v>997.7</v>
      </c>
      <c r="BO16" s="179">
        <v>50.11</v>
      </c>
      <c r="BP16" s="185">
        <v>0.91969999999999996</v>
      </c>
      <c r="BQ16" s="177">
        <v>92.8</v>
      </c>
      <c r="BR16" s="177">
        <v>86.9</v>
      </c>
      <c r="BS16" s="49">
        <f t="shared" si="11"/>
        <v>-5.8999999999999915</v>
      </c>
      <c r="BT16" s="175">
        <v>11800</v>
      </c>
      <c r="BU16" s="175">
        <v>11296</v>
      </c>
      <c r="BV16" s="51">
        <f t="shared" si="12"/>
        <v>-504</v>
      </c>
      <c r="BW16" s="175">
        <f t="shared" si="13"/>
        <v>2.4329999999999998</v>
      </c>
      <c r="BX16" s="177">
        <v>17</v>
      </c>
      <c r="BY16" s="177">
        <v>17.100000000000001</v>
      </c>
      <c r="CA16" s="177">
        <v>17.5</v>
      </c>
      <c r="CB16" s="177">
        <v>6</v>
      </c>
      <c r="CD16" s="177">
        <v>2.1</v>
      </c>
      <c r="CE16" s="177">
        <v>4.8</v>
      </c>
      <c r="CF16" s="177">
        <v>2.1</v>
      </c>
      <c r="CG16" s="177">
        <v>-0.5</v>
      </c>
    </row>
    <row r="17" spans="1:85">
      <c r="A17" s="452"/>
      <c r="B17" s="24">
        <v>43385</v>
      </c>
      <c r="C17" s="157">
        <v>79.2</v>
      </c>
      <c r="D17" s="197">
        <v>0.64500000000000002</v>
      </c>
      <c r="E17" s="171">
        <v>67.099999999999994</v>
      </c>
      <c r="F17" s="159">
        <v>90</v>
      </c>
      <c r="G17" s="159">
        <v>71</v>
      </c>
      <c r="H17" s="159">
        <v>10</v>
      </c>
      <c r="I17" s="159">
        <v>4</v>
      </c>
      <c r="J17" s="159">
        <v>15</v>
      </c>
      <c r="K17" s="159">
        <v>39</v>
      </c>
      <c r="L17" s="161">
        <v>12</v>
      </c>
      <c r="M17" s="161">
        <v>48</v>
      </c>
      <c r="N17" s="161">
        <v>7</v>
      </c>
      <c r="O17" s="161">
        <v>14</v>
      </c>
      <c r="P17" s="161">
        <v>2</v>
      </c>
      <c r="Q17" s="161">
        <v>15</v>
      </c>
      <c r="R17" s="162">
        <v>3605</v>
      </c>
      <c r="S17" s="163">
        <v>3410</v>
      </c>
      <c r="T17" s="163">
        <v>1752</v>
      </c>
      <c r="U17" s="164">
        <v>1747</v>
      </c>
      <c r="V17" s="164">
        <v>1810</v>
      </c>
      <c r="W17" s="159">
        <v>43</v>
      </c>
      <c r="X17" s="159">
        <v>0</v>
      </c>
      <c r="Y17" s="159">
        <v>46</v>
      </c>
      <c r="Z17" s="159">
        <v>0</v>
      </c>
      <c r="AA17" s="159">
        <v>58</v>
      </c>
      <c r="AB17" s="159">
        <v>0</v>
      </c>
      <c r="AC17" s="165">
        <f t="shared" si="0"/>
        <v>63</v>
      </c>
      <c r="AD17" s="166">
        <f t="shared" si="1"/>
        <v>-5</v>
      </c>
      <c r="AE17" s="159">
        <v>144</v>
      </c>
      <c r="AF17" s="167">
        <f t="shared" si="2"/>
        <v>0.52372685185185186</v>
      </c>
      <c r="AG17" s="168">
        <f t="shared" si="14"/>
        <v>150.20833333333334</v>
      </c>
      <c r="AH17" s="167">
        <f t="shared" si="3"/>
        <v>0.48460471567267682</v>
      </c>
      <c r="AI17" s="169">
        <f t="shared" si="15"/>
        <v>1</v>
      </c>
      <c r="AJ17" s="170">
        <f t="shared" si="16"/>
        <v>0.97290249433106579</v>
      </c>
      <c r="AK17" s="376">
        <v>5.1970000000000001</v>
      </c>
      <c r="AL17" s="387">
        <v>173.67</v>
      </c>
      <c r="AM17" s="368">
        <f t="shared" si="4"/>
        <v>902.5629899999999</v>
      </c>
      <c r="AN17" s="376">
        <v>14.305</v>
      </c>
      <c r="AO17" s="383">
        <v>1016.25</v>
      </c>
      <c r="AP17" s="172">
        <f t="shared" si="5"/>
        <v>14537.456249999999</v>
      </c>
      <c r="AQ17" s="202">
        <f t="shared" si="6"/>
        <v>8838.0190269032628</v>
      </c>
      <c r="AR17" s="199">
        <f t="shared" si="7"/>
        <v>142.08333333333334</v>
      </c>
      <c r="AS17" s="13"/>
      <c r="AT17" s="159">
        <v>22</v>
      </c>
      <c r="AU17" s="159">
        <v>68</v>
      </c>
      <c r="AV17" s="159">
        <v>18</v>
      </c>
      <c r="AW17" s="159">
        <v>67</v>
      </c>
      <c r="AX17" s="159">
        <v>37</v>
      </c>
      <c r="AY17" s="159">
        <v>82</v>
      </c>
      <c r="AZ17" s="159">
        <v>0</v>
      </c>
      <c r="BA17" s="4"/>
      <c r="BB17" s="175">
        <v>444</v>
      </c>
      <c r="BC17" s="175">
        <v>742</v>
      </c>
      <c r="BD17" s="175">
        <v>624</v>
      </c>
      <c r="BE17" s="175">
        <f t="shared" si="8"/>
        <v>298</v>
      </c>
      <c r="BF17" s="177">
        <f t="shared" si="9"/>
        <v>8838.0190269032628</v>
      </c>
      <c r="BG17" s="177">
        <f t="shared" si="10"/>
        <v>26</v>
      </c>
      <c r="BH17" s="178">
        <v>0.29099999999999998</v>
      </c>
      <c r="BI17" s="156">
        <v>0.48</v>
      </c>
      <c r="BJ17" s="177">
        <v>29.7</v>
      </c>
      <c r="BK17" s="175">
        <v>24.44</v>
      </c>
      <c r="BL17" s="175">
        <v>20.8</v>
      </c>
      <c r="BM17" s="175">
        <v>26.9</v>
      </c>
      <c r="BN17" s="179">
        <v>1000.2</v>
      </c>
      <c r="BO17" s="179">
        <v>50.1</v>
      </c>
      <c r="BP17" s="185">
        <v>0.91839999999999999</v>
      </c>
      <c r="BQ17" s="177">
        <v>94.67</v>
      </c>
      <c r="BR17" s="177">
        <v>87.16</v>
      </c>
      <c r="BS17" s="49">
        <f t="shared" si="11"/>
        <v>-7.5100000000000051</v>
      </c>
      <c r="BT17" s="175">
        <v>11673</v>
      </c>
      <c r="BU17" s="175">
        <v>11191</v>
      </c>
      <c r="BV17" s="51">
        <f t="shared" si="12"/>
        <v>-482</v>
      </c>
      <c r="BW17" s="175">
        <f t="shared" si="13"/>
        <v>0.77099999999999991</v>
      </c>
      <c r="BX17" s="177">
        <v>10.15</v>
      </c>
      <c r="BY17" s="177">
        <v>12.93</v>
      </c>
      <c r="CA17" s="177">
        <v>9</v>
      </c>
      <c r="CB17" s="177">
        <v>5.88</v>
      </c>
      <c r="CD17" s="177">
        <v>2.1</v>
      </c>
      <c r="CE17" s="177">
        <v>4.5999999999999996</v>
      </c>
      <c r="CF17" s="177">
        <v>2</v>
      </c>
      <c r="CG17" s="177">
        <v>-0.7</v>
      </c>
    </row>
    <row r="18" spans="1:85">
      <c r="A18" s="452"/>
      <c r="B18" s="24">
        <v>43386</v>
      </c>
      <c r="C18" s="157">
        <v>79.3</v>
      </c>
      <c r="D18" s="197">
        <v>0.63200000000000001</v>
      </c>
      <c r="E18" s="171">
        <v>66.5</v>
      </c>
      <c r="F18" s="159">
        <v>90</v>
      </c>
      <c r="G18" s="159">
        <v>71</v>
      </c>
      <c r="H18" s="159">
        <v>17</v>
      </c>
      <c r="I18" s="159">
        <v>34</v>
      </c>
      <c r="J18" s="159">
        <v>24</v>
      </c>
      <c r="K18" s="159">
        <v>0</v>
      </c>
      <c r="L18" s="161">
        <v>5</v>
      </c>
      <c r="M18" s="161">
        <v>57</v>
      </c>
      <c r="N18" s="161">
        <v>0</v>
      </c>
      <c r="O18" s="161">
        <v>0</v>
      </c>
      <c r="P18" s="161">
        <v>3</v>
      </c>
      <c r="Q18" s="161">
        <v>30</v>
      </c>
      <c r="R18" s="162">
        <v>3602</v>
      </c>
      <c r="S18" s="163">
        <v>3313</v>
      </c>
      <c r="T18" s="163">
        <v>2814</v>
      </c>
      <c r="U18" s="164">
        <v>2763</v>
      </c>
      <c r="V18" s="164">
        <v>2852</v>
      </c>
      <c r="W18" s="159">
        <v>43</v>
      </c>
      <c r="X18" s="159">
        <v>0</v>
      </c>
      <c r="Y18" s="159">
        <v>46</v>
      </c>
      <c r="Z18" s="159">
        <v>0</v>
      </c>
      <c r="AA18" s="159">
        <v>58</v>
      </c>
      <c r="AB18" s="159">
        <v>0</v>
      </c>
      <c r="AC18" s="165">
        <f t="shared" si="0"/>
        <v>89</v>
      </c>
      <c r="AD18" s="166">
        <f t="shared" si="1"/>
        <v>-51</v>
      </c>
      <c r="AE18" s="159">
        <v>146</v>
      </c>
      <c r="AF18" s="167">
        <f t="shared" si="2"/>
        <v>0.8139269406392694</v>
      </c>
      <c r="AG18" s="168">
        <f t="shared" si="14"/>
        <v>150.08333333333334</v>
      </c>
      <c r="AH18" s="167">
        <f t="shared" si="3"/>
        <v>0.76707384786229871</v>
      </c>
      <c r="AI18" s="169">
        <f t="shared" si="15"/>
        <v>1</v>
      </c>
      <c r="AJ18" s="170">
        <f t="shared" si="16"/>
        <v>0.93013038548752824</v>
      </c>
      <c r="AK18" s="376">
        <v>8.3079999999999998</v>
      </c>
      <c r="AL18" s="387">
        <v>164.46</v>
      </c>
      <c r="AM18" s="368">
        <f t="shared" si="4"/>
        <v>1366.33368</v>
      </c>
      <c r="AN18" s="376">
        <v>22.218</v>
      </c>
      <c r="AO18" s="383">
        <v>1007.91</v>
      </c>
      <c r="AP18" s="172">
        <f t="shared" si="5"/>
        <v>22393.74438</v>
      </c>
      <c r="AQ18" s="202">
        <f t="shared" si="6"/>
        <v>8599.3767861020624</v>
      </c>
      <c r="AR18" s="199">
        <f t="shared" si="7"/>
        <v>138.04166666666666</v>
      </c>
      <c r="AS18" s="13"/>
      <c r="AT18" s="159">
        <v>18</v>
      </c>
      <c r="AU18" s="159">
        <v>30</v>
      </c>
      <c r="AV18" s="159">
        <v>0</v>
      </c>
      <c r="AW18" s="159">
        <v>0</v>
      </c>
      <c r="AX18" s="159">
        <v>19</v>
      </c>
      <c r="AY18" s="159">
        <v>750</v>
      </c>
      <c r="AZ18" s="159">
        <v>0</v>
      </c>
      <c r="BA18" s="4"/>
      <c r="BB18" s="175">
        <v>761</v>
      </c>
      <c r="BC18" s="175">
        <v>1092</v>
      </c>
      <c r="BD18" s="175">
        <v>999</v>
      </c>
      <c r="BE18" s="175">
        <f t="shared" si="8"/>
        <v>331</v>
      </c>
      <c r="BF18" s="177">
        <f t="shared" si="9"/>
        <v>8599.3767861020624</v>
      </c>
      <c r="BG18" s="177">
        <f t="shared" si="10"/>
        <v>41.625</v>
      </c>
      <c r="BH18" s="178">
        <v>0.46899999999999997</v>
      </c>
      <c r="BI18" s="156">
        <v>0.70299999999999996</v>
      </c>
      <c r="BJ18" s="177">
        <v>30.1</v>
      </c>
      <c r="BK18" s="175">
        <v>25.44</v>
      </c>
      <c r="BL18" s="175">
        <v>21.35</v>
      </c>
      <c r="BM18" s="175">
        <v>27.65</v>
      </c>
      <c r="BN18" s="179">
        <v>1000.54</v>
      </c>
      <c r="BO18" s="179">
        <v>50.04</v>
      </c>
      <c r="BP18" s="185">
        <v>0.92110000000000003</v>
      </c>
      <c r="BQ18" s="177">
        <v>95.73</v>
      </c>
      <c r="BR18" s="186">
        <v>87.1</v>
      </c>
      <c r="BS18" s="49">
        <f t="shared" si="11"/>
        <v>-8.6300000000000097</v>
      </c>
      <c r="BT18" s="175">
        <v>11695</v>
      </c>
      <c r="BU18" s="175">
        <v>11200</v>
      </c>
      <c r="BV18" s="51">
        <f t="shared" si="12"/>
        <v>-495</v>
      </c>
      <c r="BW18" s="175">
        <f t="shared" si="13"/>
        <v>1.1719999999999999</v>
      </c>
      <c r="BX18" s="177">
        <v>17.73</v>
      </c>
      <c r="BY18" s="177">
        <v>24</v>
      </c>
      <c r="CA18" s="177">
        <v>16.73</v>
      </c>
      <c r="CB18" s="177">
        <v>6.9</v>
      </c>
      <c r="CD18" s="177">
        <v>2.1</v>
      </c>
      <c r="CE18" s="177">
        <v>4.5999999999999996</v>
      </c>
      <c r="CF18" s="177">
        <v>2</v>
      </c>
      <c r="CG18" s="177">
        <v>-1</v>
      </c>
    </row>
    <row r="19" spans="1:85">
      <c r="A19" s="453"/>
      <c r="B19" s="24">
        <v>43387</v>
      </c>
      <c r="C19" s="157">
        <v>79.3</v>
      </c>
      <c r="D19" s="197">
        <v>0.56899999999999995</v>
      </c>
      <c r="E19" s="171">
        <v>63.7</v>
      </c>
      <c r="F19" s="159">
        <v>91</v>
      </c>
      <c r="G19" s="159">
        <v>69</v>
      </c>
      <c r="H19" s="159">
        <v>23</v>
      </c>
      <c r="I19" s="159">
        <v>29</v>
      </c>
      <c r="J19" s="159">
        <v>24</v>
      </c>
      <c r="K19" s="159">
        <v>0</v>
      </c>
      <c r="L19" s="159">
        <v>0</v>
      </c>
      <c r="M19" s="159">
        <v>15</v>
      </c>
      <c r="N19" s="187">
        <v>0</v>
      </c>
      <c r="O19" s="187">
        <v>0</v>
      </c>
      <c r="P19" s="187">
        <v>0</v>
      </c>
      <c r="Q19" s="187">
        <v>0</v>
      </c>
      <c r="R19" s="162">
        <v>3601</v>
      </c>
      <c r="S19" s="163">
        <v>3210</v>
      </c>
      <c r="T19" s="163">
        <v>3188</v>
      </c>
      <c r="U19" s="164">
        <v>3119</v>
      </c>
      <c r="V19" s="164">
        <v>3214</v>
      </c>
      <c r="W19" s="159">
        <v>43</v>
      </c>
      <c r="X19" s="159">
        <v>0</v>
      </c>
      <c r="Y19" s="159">
        <v>46</v>
      </c>
      <c r="Z19" s="159">
        <v>0</v>
      </c>
      <c r="AA19" s="159">
        <v>58</v>
      </c>
      <c r="AB19" s="159">
        <v>0</v>
      </c>
      <c r="AC19" s="165">
        <f t="shared" si="0"/>
        <v>95</v>
      </c>
      <c r="AD19" s="166">
        <f t="shared" si="1"/>
        <v>-69</v>
      </c>
      <c r="AE19" s="159">
        <v>137</v>
      </c>
      <c r="AF19" s="167">
        <f t="shared" si="2"/>
        <v>0.97749391727493917</v>
      </c>
      <c r="AG19" s="168">
        <f t="shared" si="14"/>
        <v>150.04166666666666</v>
      </c>
      <c r="AH19" s="167">
        <f t="shared" si="3"/>
        <v>0.86614829214107192</v>
      </c>
      <c r="AI19" s="169">
        <f t="shared" si="15"/>
        <v>1</v>
      </c>
      <c r="AJ19" s="170">
        <f t="shared" si="16"/>
        <v>0.91027966742252464</v>
      </c>
      <c r="AK19" s="376">
        <v>8.3049999999999997</v>
      </c>
      <c r="AL19" s="387">
        <v>165.91</v>
      </c>
      <c r="AM19" s="368">
        <f t="shared" si="4"/>
        <v>1377.88255</v>
      </c>
      <c r="AN19" s="376">
        <v>25.263999999999999</v>
      </c>
      <c r="AO19" s="383">
        <v>1001.519</v>
      </c>
      <c r="AP19" s="172">
        <f t="shared" si="5"/>
        <v>25302.376015999998</v>
      </c>
      <c r="AQ19" s="202">
        <f t="shared" si="6"/>
        <v>8554.1066258416158</v>
      </c>
      <c r="AR19" s="199">
        <f t="shared" si="7"/>
        <v>133.75</v>
      </c>
      <c r="AS19" s="13"/>
      <c r="AT19" s="159">
        <v>17</v>
      </c>
      <c r="AU19" s="159">
        <v>16</v>
      </c>
      <c r="AV19" s="159">
        <v>0</v>
      </c>
      <c r="AW19" s="159">
        <v>0</v>
      </c>
      <c r="AX19" s="174">
        <v>13</v>
      </c>
      <c r="AY19" s="159">
        <v>1440</v>
      </c>
      <c r="AZ19" s="159">
        <v>0</v>
      </c>
      <c r="BA19" s="4"/>
      <c r="BB19" s="175">
        <v>1023</v>
      </c>
      <c r="BC19" s="175">
        <v>1101</v>
      </c>
      <c r="BD19" s="175">
        <v>1090</v>
      </c>
      <c r="BE19" s="175">
        <f t="shared" si="8"/>
        <v>78</v>
      </c>
      <c r="BF19" s="177">
        <f t="shared" si="9"/>
        <v>8554.1066258416158</v>
      </c>
      <c r="BG19" s="177">
        <f t="shared" si="10"/>
        <v>45.416666666666664</v>
      </c>
      <c r="BH19" s="178">
        <v>0.29099999999999998</v>
      </c>
      <c r="BI19" s="156">
        <v>0.28799999999999998</v>
      </c>
      <c r="BJ19" s="177">
        <v>30</v>
      </c>
      <c r="BK19" s="175">
        <v>25.74</v>
      </c>
      <c r="BL19" s="175">
        <v>21.63</v>
      </c>
      <c r="BM19" s="175">
        <v>27.3</v>
      </c>
      <c r="BN19" s="179">
        <v>999.04</v>
      </c>
      <c r="BO19" s="179">
        <v>50.1</v>
      </c>
      <c r="BP19" s="180">
        <v>0.92079999999999995</v>
      </c>
      <c r="BQ19" s="186">
        <v>96.03</v>
      </c>
      <c r="BR19" s="186">
        <v>86.97</v>
      </c>
      <c r="BS19" s="49">
        <f t="shared" si="11"/>
        <v>-9.0600000000000023</v>
      </c>
      <c r="BT19" s="175">
        <v>11635</v>
      </c>
      <c r="BU19" s="175">
        <v>11215</v>
      </c>
      <c r="BV19" s="51">
        <f t="shared" si="12"/>
        <v>-420</v>
      </c>
      <c r="BW19" s="175">
        <f t="shared" si="13"/>
        <v>0.57899999999999996</v>
      </c>
      <c r="BX19" s="177">
        <v>23.5</v>
      </c>
      <c r="BY19" s="177">
        <v>24</v>
      </c>
      <c r="CA19" s="177">
        <v>23.5</v>
      </c>
      <c r="CB19" s="177">
        <v>8</v>
      </c>
      <c r="CD19" s="177">
        <v>2.1</v>
      </c>
      <c r="CE19" s="177">
        <v>4.5</v>
      </c>
      <c r="CF19" s="177">
        <v>2.1</v>
      </c>
      <c r="CG19" s="177">
        <v>-1</v>
      </c>
    </row>
    <row r="20" spans="1:85" ht="12.75" customHeight="1">
      <c r="A20" s="451" t="s">
        <v>299</v>
      </c>
      <c r="B20" s="24">
        <v>43388</v>
      </c>
      <c r="C20" s="25">
        <v>79.47</v>
      </c>
      <c r="D20" s="26">
        <v>0.57140000000000002</v>
      </c>
      <c r="E20" s="38">
        <v>63.95</v>
      </c>
      <c r="F20" s="27">
        <v>92</v>
      </c>
      <c r="G20" s="27">
        <v>69</v>
      </c>
      <c r="H20" s="27">
        <v>14</v>
      </c>
      <c r="I20" s="27">
        <v>10</v>
      </c>
      <c r="J20" s="27">
        <v>24</v>
      </c>
      <c r="K20" s="27">
        <v>0</v>
      </c>
      <c r="L20" s="27">
        <v>9</v>
      </c>
      <c r="M20" s="27">
        <v>15</v>
      </c>
      <c r="N20" s="29">
        <v>0</v>
      </c>
      <c r="O20" s="29">
        <v>0</v>
      </c>
      <c r="P20" s="29">
        <v>13</v>
      </c>
      <c r="Q20" s="29">
        <v>46</v>
      </c>
      <c r="R20" s="58">
        <v>3598</v>
      </c>
      <c r="S20" s="30">
        <v>3503</v>
      </c>
      <c r="T20" s="30">
        <v>2852</v>
      </c>
      <c r="U20" s="59">
        <v>2677</v>
      </c>
      <c r="V20" s="31">
        <v>2765</v>
      </c>
      <c r="W20" s="27">
        <v>43</v>
      </c>
      <c r="X20" s="27">
        <v>0</v>
      </c>
      <c r="Y20" s="27">
        <v>46</v>
      </c>
      <c r="Z20" s="27">
        <v>0</v>
      </c>
      <c r="AA20" s="27">
        <v>58</v>
      </c>
      <c r="AB20" s="27">
        <v>0</v>
      </c>
      <c r="AC20" s="32">
        <f t="shared" si="0"/>
        <v>88</v>
      </c>
      <c r="AD20" s="33">
        <f t="shared" si="1"/>
        <v>-175</v>
      </c>
      <c r="AE20" s="27">
        <v>148</v>
      </c>
      <c r="AF20" s="34">
        <f t="shared" si="2"/>
        <v>0.77843468468468469</v>
      </c>
      <c r="AG20" s="35">
        <f t="shared" si="14"/>
        <v>149.91666666666666</v>
      </c>
      <c r="AH20" s="34">
        <f t="shared" si="3"/>
        <v>0.74402445803224015</v>
      </c>
      <c r="AI20" s="36">
        <f t="shared" si="15"/>
        <v>1</v>
      </c>
      <c r="AJ20" s="37">
        <f t="shared" si="16"/>
        <v>0.9030470521541949</v>
      </c>
      <c r="AK20" s="378">
        <v>8.2850000000000001</v>
      </c>
      <c r="AL20" s="388">
        <v>165.98</v>
      </c>
      <c r="AM20" s="38">
        <f t="shared" si="4"/>
        <v>1375.1442999999999</v>
      </c>
      <c r="AN20" s="378">
        <v>21.960999999999999</v>
      </c>
      <c r="AO20" s="384">
        <v>1002.3680000000001</v>
      </c>
      <c r="AP20" s="39">
        <f t="shared" si="5"/>
        <v>22013.003647999998</v>
      </c>
      <c r="AQ20" s="201">
        <f t="shared" si="6"/>
        <v>8736.7007650354863</v>
      </c>
      <c r="AR20" s="198">
        <f t="shared" si="7"/>
        <v>145.95833333333334</v>
      </c>
      <c r="AS20" s="13"/>
      <c r="AT20" s="27">
        <v>25</v>
      </c>
      <c r="AU20" s="40">
        <v>35</v>
      </c>
      <c r="AV20" s="40">
        <v>0</v>
      </c>
      <c r="AW20" s="27">
        <v>0</v>
      </c>
      <c r="AX20" s="40">
        <v>32</v>
      </c>
      <c r="AY20" s="27">
        <v>614</v>
      </c>
      <c r="AZ20" s="27">
        <v>0</v>
      </c>
      <c r="BA20" s="4"/>
      <c r="BB20" s="52">
        <v>612</v>
      </c>
      <c r="BC20" s="52">
        <v>1097</v>
      </c>
      <c r="BD20" s="52">
        <v>1056</v>
      </c>
      <c r="BE20" s="41">
        <f t="shared" si="8"/>
        <v>485</v>
      </c>
      <c r="BF20" s="41">
        <f t="shared" si="9"/>
        <v>8736.7007650354863</v>
      </c>
      <c r="BG20" s="60">
        <f t="shared" si="10"/>
        <v>44</v>
      </c>
      <c r="BH20" s="61">
        <v>1.1200000000000001</v>
      </c>
      <c r="BI20" s="62">
        <v>1.512</v>
      </c>
      <c r="BJ20" s="42">
        <v>29.4</v>
      </c>
      <c r="BK20" s="41">
        <v>15.52</v>
      </c>
      <c r="BL20" s="41">
        <v>21.6</v>
      </c>
      <c r="BM20" s="41">
        <v>27.31</v>
      </c>
      <c r="BN20" s="63">
        <v>999</v>
      </c>
      <c r="BO20" s="63">
        <v>50.1</v>
      </c>
      <c r="BP20" s="64">
        <v>0.92079999999999995</v>
      </c>
      <c r="BQ20" s="42">
        <v>95.99</v>
      </c>
      <c r="BR20" s="42">
        <v>87.01</v>
      </c>
      <c r="BS20" s="49">
        <f t="shared" si="11"/>
        <v>-8.9799999999999898</v>
      </c>
      <c r="BT20" s="41">
        <v>11674</v>
      </c>
      <c r="BU20" s="41">
        <v>11245</v>
      </c>
      <c r="BV20" s="51">
        <f t="shared" si="12"/>
        <v>-429</v>
      </c>
      <c r="BW20" s="41">
        <f t="shared" si="13"/>
        <v>2.6320000000000001</v>
      </c>
      <c r="BX20" s="42">
        <v>14.27</v>
      </c>
      <c r="BY20" s="42">
        <v>24</v>
      </c>
      <c r="CA20" s="42">
        <v>13.17</v>
      </c>
      <c r="CB20" s="42">
        <v>6.45</v>
      </c>
      <c r="CD20" s="42">
        <v>2.1</v>
      </c>
      <c r="CE20" s="42">
        <v>4.8</v>
      </c>
      <c r="CF20" s="42">
        <v>2.1</v>
      </c>
      <c r="CG20" s="42">
        <v>-0.8</v>
      </c>
    </row>
    <row r="21" spans="1:85">
      <c r="A21" s="452"/>
      <c r="B21" s="24">
        <v>43389</v>
      </c>
      <c r="C21" s="25">
        <v>78.5</v>
      </c>
      <c r="D21" s="26">
        <v>0.57599999999999996</v>
      </c>
      <c r="E21" s="38">
        <v>63.4</v>
      </c>
      <c r="F21" s="27">
        <v>90</v>
      </c>
      <c r="G21" s="27">
        <v>66</v>
      </c>
      <c r="H21" s="27">
        <v>24</v>
      </c>
      <c r="I21" s="27">
        <v>0</v>
      </c>
      <c r="J21" s="27">
        <v>24</v>
      </c>
      <c r="K21" s="27">
        <v>0</v>
      </c>
      <c r="L21" s="29">
        <v>0</v>
      </c>
      <c r="M21" s="29">
        <v>0</v>
      </c>
      <c r="N21" s="29">
        <v>0</v>
      </c>
      <c r="O21" s="29">
        <v>0</v>
      </c>
      <c r="P21" s="29">
        <v>24</v>
      </c>
      <c r="Q21" s="29">
        <v>0</v>
      </c>
      <c r="R21" s="58">
        <v>3614</v>
      </c>
      <c r="S21" s="30">
        <v>3497</v>
      </c>
      <c r="T21" s="30">
        <v>3497</v>
      </c>
      <c r="U21" s="59">
        <v>3424</v>
      </c>
      <c r="V21" s="31">
        <v>3530</v>
      </c>
      <c r="W21" s="27">
        <v>43</v>
      </c>
      <c r="X21" s="27">
        <v>0</v>
      </c>
      <c r="Y21" s="27">
        <v>46</v>
      </c>
      <c r="Z21" s="27">
        <v>0</v>
      </c>
      <c r="AA21" s="27">
        <v>58</v>
      </c>
      <c r="AB21" s="27">
        <v>0</v>
      </c>
      <c r="AC21" s="32">
        <f t="shared" si="0"/>
        <v>106</v>
      </c>
      <c r="AD21" s="33">
        <f t="shared" si="1"/>
        <v>-73</v>
      </c>
      <c r="AE21" s="27">
        <v>149</v>
      </c>
      <c r="AF21" s="34">
        <f t="shared" si="2"/>
        <v>0.98713646532438482</v>
      </c>
      <c r="AG21" s="35">
        <f t="shared" si="14"/>
        <v>150.58333333333334</v>
      </c>
      <c r="AH21" s="34">
        <f t="shared" si="3"/>
        <v>0.94742667404537906</v>
      </c>
      <c r="AI21" s="36">
        <f t="shared" si="15"/>
        <v>1</v>
      </c>
      <c r="AJ21" s="37">
        <f t="shared" si="16"/>
        <v>1</v>
      </c>
      <c r="AK21" s="236">
        <v>8.2349999999999994</v>
      </c>
      <c r="AL21" s="389">
        <v>169.2</v>
      </c>
      <c r="AM21" s="38">
        <f t="shared" si="4"/>
        <v>1393.3619999999999</v>
      </c>
      <c r="AN21" s="236">
        <v>28.367919919999999</v>
      </c>
      <c r="AO21" s="385">
        <v>1003.325</v>
      </c>
      <c r="AP21" s="39">
        <f t="shared" si="5"/>
        <v>28462.243253733999</v>
      </c>
      <c r="AQ21" s="201">
        <f t="shared" si="6"/>
        <v>8719.5108801793231</v>
      </c>
      <c r="AR21" s="198">
        <f t="shared" si="7"/>
        <v>145.70833333333334</v>
      </c>
      <c r="AS21" s="13"/>
      <c r="AT21" s="27">
        <v>0</v>
      </c>
      <c r="AU21" s="40">
        <v>0</v>
      </c>
      <c r="AV21" s="40">
        <v>0</v>
      </c>
      <c r="AW21" s="27">
        <v>0</v>
      </c>
      <c r="AX21" s="40">
        <v>0</v>
      </c>
      <c r="AY21" s="27">
        <v>0</v>
      </c>
      <c r="AZ21" s="27">
        <v>0</v>
      </c>
      <c r="BA21" s="4"/>
      <c r="BB21" s="52">
        <v>1041</v>
      </c>
      <c r="BC21" s="52">
        <v>1098</v>
      </c>
      <c r="BD21" s="52">
        <v>1391</v>
      </c>
      <c r="BE21" s="41">
        <f t="shared" si="8"/>
        <v>57</v>
      </c>
      <c r="BF21" s="41">
        <f t="shared" si="9"/>
        <v>8719.5108801793231</v>
      </c>
      <c r="BG21" s="60">
        <f t="shared" si="10"/>
        <v>57.958333333333336</v>
      </c>
      <c r="BH21" s="43">
        <v>1.819</v>
      </c>
      <c r="BI21" s="44">
        <v>1.819</v>
      </c>
      <c r="BJ21" s="45">
        <v>30.34</v>
      </c>
      <c r="BK21" s="47">
        <v>25.76</v>
      </c>
      <c r="BL21" s="47">
        <v>21.72</v>
      </c>
      <c r="BM21" s="47">
        <v>27.22</v>
      </c>
      <c r="BN21" s="47">
        <v>998</v>
      </c>
      <c r="BO21" s="45">
        <v>50.06</v>
      </c>
      <c r="BP21" s="48">
        <v>0.91990000000000005</v>
      </c>
      <c r="BQ21" s="42">
        <v>96.54</v>
      </c>
      <c r="BR21" s="42">
        <v>86.97</v>
      </c>
      <c r="BS21" s="49">
        <f t="shared" si="11"/>
        <v>-9.5700000000000074</v>
      </c>
      <c r="BT21" s="41">
        <v>11627</v>
      </c>
      <c r="BU21" s="41">
        <v>11265</v>
      </c>
      <c r="BV21" s="51">
        <f t="shared" si="12"/>
        <v>-362</v>
      </c>
      <c r="BW21" s="41">
        <f t="shared" si="13"/>
        <v>3.6379999999999999</v>
      </c>
      <c r="BX21" s="42">
        <v>24</v>
      </c>
      <c r="BY21" s="42">
        <v>24</v>
      </c>
      <c r="CA21" s="42">
        <v>24</v>
      </c>
      <c r="CB21" s="42">
        <v>7.93</v>
      </c>
      <c r="CD21" s="42">
        <v>2.1</v>
      </c>
      <c r="CE21" s="42">
        <v>5</v>
      </c>
      <c r="CF21" s="42">
        <v>2.0499999999999998</v>
      </c>
      <c r="CG21" s="42">
        <v>-0.8</v>
      </c>
    </row>
    <row r="22" spans="1:85">
      <c r="A22" s="452"/>
      <c r="B22" s="24">
        <v>43390</v>
      </c>
      <c r="C22" s="25">
        <v>79.599999999999994</v>
      </c>
      <c r="D22" s="26">
        <v>0.57699999999999996</v>
      </c>
      <c r="E22" s="38">
        <v>64.400000000000006</v>
      </c>
      <c r="F22" s="27">
        <v>90</v>
      </c>
      <c r="G22" s="27">
        <v>70</v>
      </c>
      <c r="H22" s="27">
        <v>24</v>
      </c>
      <c r="I22" s="27">
        <v>0</v>
      </c>
      <c r="J22" s="27">
        <v>24</v>
      </c>
      <c r="K22" s="27">
        <v>0</v>
      </c>
      <c r="L22" s="29">
        <v>0</v>
      </c>
      <c r="M22" s="29">
        <v>0</v>
      </c>
      <c r="N22" s="29">
        <v>0</v>
      </c>
      <c r="O22" s="29">
        <v>0</v>
      </c>
      <c r="P22" s="29">
        <v>24</v>
      </c>
      <c r="Q22" s="29">
        <v>0</v>
      </c>
      <c r="R22" s="58">
        <v>3595</v>
      </c>
      <c r="S22" s="30">
        <v>3490</v>
      </c>
      <c r="T22" s="30">
        <v>3490</v>
      </c>
      <c r="U22" s="65">
        <v>3415</v>
      </c>
      <c r="V22" s="31">
        <v>3521</v>
      </c>
      <c r="W22" s="27">
        <v>43</v>
      </c>
      <c r="X22" s="27">
        <v>0</v>
      </c>
      <c r="Y22" s="27">
        <v>46</v>
      </c>
      <c r="Z22" s="27">
        <v>0</v>
      </c>
      <c r="AA22" s="27">
        <v>58</v>
      </c>
      <c r="AB22" s="27">
        <v>0</v>
      </c>
      <c r="AC22" s="32">
        <f t="shared" si="0"/>
        <v>106</v>
      </c>
      <c r="AD22" s="33">
        <f t="shared" si="1"/>
        <v>-75</v>
      </c>
      <c r="AE22" s="27">
        <v>149</v>
      </c>
      <c r="AF22" s="34">
        <f t="shared" si="2"/>
        <v>0.98461968680089484</v>
      </c>
      <c r="AG22" s="35">
        <f t="shared" si="14"/>
        <v>149.79166666666666</v>
      </c>
      <c r="AH22" s="34">
        <f t="shared" si="3"/>
        <v>0.94993045897079276</v>
      </c>
      <c r="AI22" s="36">
        <f t="shared" si="15"/>
        <v>1</v>
      </c>
      <c r="AJ22" s="37">
        <f t="shared" si="16"/>
        <v>1</v>
      </c>
      <c r="AK22" s="235">
        <v>8.1329999999999991</v>
      </c>
      <c r="AL22" s="386">
        <v>170.01</v>
      </c>
      <c r="AM22" s="38">
        <f t="shared" si="4"/>
        <v>1382.6913299999999</v>
      </c>
      <c r="AN22" s="235">
        <v>28.335150389999999</v>
      </c>
      <c r="AO22" s="380">
        <v>1002.859</v>
      </c>
      <c r="AP22" s="39">
        <f t="shared" si="5"/>
        <v>28416.160584965011</v>
      </c>
      <c r="AQ22" s="201">
        <f t="shared" si="6"/>
        <v>8725.8717174128869</v>
      </c>
      <c r="AR22" s="198">
        <f t="shared" si="7"/>
        <v>145.41666666666666</v>
      </c>
      <c r="AS22" s="13"/>
      <c r="AT22" s="27">
        <v>0</v>
      </c>
      <c r="AU22" s="40">
        <v>0</v>
      </c>
      <c r="AV22" s="40">
        <v>0</v>
      </c>
      <c r="AW22" s="27">
        <v>0</v>
      </c>
      <c r="AX22" s="40">
        <v>0</v>
      </c>
      <c r="AY22" s="27">
        <v>0</v>
      </c>
      <c r="AZ22" s="27">
        <v>0</v>
      </c>
      <c r="BA22" s="4"/>
      <c r="BB22" s="52">
        <v>1037</v>
      </c>
      <c r="BC22" s="52">
        <v>1095</v>
      </c>
      <c r="BD22" s="52">
        <v>1389</v>
      </c>
      <c r="BE22" s="41">
        <f t="shared" si="8"/>
        <v>58</v>
      </c>
      <c r="BF22" s="41">
        <f t="shared" si="9"/>
        <v>8725.8717174128869</v>
      </c>
      <c r="BG22" s="60">
        <f t="shared" si="10"/>
        <v>57.875</v>
      </c>
      <c r="BH22" s="43">
        <v>1.819</v>
      </c>
      <c r="BI22" s="44">
        <v>1.819</v>
      </c>
      <c r="BJ22" s="45">
        <v>30.24</v>
      </c>
      <c r="BK22" s="47">
        <v>25.75</v>
      </c>
      <c r="BL22" s="47">
        <v>21.72</v>
      </c>
      <c r="BM22" s="47">
        <v>27.23</v>
      </c>
      <c r="BN22" s="66">
        <v>998.29</v>
      </c>
      <c r="BO22" s="45">
        <v>50.11</v>
      </c>
      <c r="BP22" s="48">
        <v>0.91969999999999996</v>
      </c>
      <c r="BQ22" s="42">
        <v>96.53</v>
      </c>
      <c r="BR22" s="42">
        <v>87.02</v>
      </c>
      <c r="BS22" s="49">
        <f t="shared" si="11"/>
        <v>-9.5100000000000051</v>
      </c>
      <c r="BT22" s="41"/>
      <c r="BU22" s="41"/>
      <c r="BV22" s="51">
        <f t="shared" si="12"/>
        <v>0</v>
      </c>
      <c r="BW22" s="41">
        <f t="shared" si="13"/>
        <v>3.6379999999999999</v>
      </c>
      <c r="BX22" s="42">
        <v>24</v>
      </c>
      <c r="BY22" s="42">
        <v>24</v>
      </c>
      <c r="CA22" s="42">
        <v>24</v>
      </c>
      <c r="CB22" s="42">
        <v>7.12</v>
      </c>
      <c r="CD22" s="42">
        <v>2.1</v>
      </c>
      <c r="CE22" s="42">
        <v>5</v>
      </c>
      <c r="CF22" s="42">
        <v>2.1</v>
      </c>
      <c r="CG22" s="42">
        <v>-0.7</v>
      </c>
    </row>
    <row r="23" spans="1:85">
      <c r="A23" s="452"/>
      <c r="B23" s="24">
        <v>43391</v>
      </c>
      <c r="C23" s="25">
        <v>79.8</v>
      </c>
      <c r="D23" s="26">
        <v>0.55200000000000005</v>
      </c>
      <c r="E23" s="38">
        <v>63.8</v>
      </c>
      <c r="F23" s="27">
        <v>91</v>
      </c>
      <c r="G23" s="27">
        <v>71</v>
      </c>
      <c r="H23" s="27">
        <v>24</v>
      </c>
      <c r="I23" s="27">
        <v>0</v>
      </c>
      <c r="J23" s="27">
        <v>24</v>
      </c>
      <c r="K23" s="27">
        <v>0</v>
      </c>
      <c r="L23" s="29">
        <v>0</v>
      </c>
      <c r="M23" s="29">
        <v>0</v>
      </c>
      <c r="N23" s="29">
        <v>0</v>
      </c>
      <c r="O23" s="29">
        <v>0</v>
      </c>
      <c r="P23" s="29">
        <v>24</v>
      </c>
      <c r="Q23" s="29">
        <v>0</v>
      </c>
      <c r="R23" s="67">
        <v>3598</v>
      </c>
      <c r="S23" s="30">
        <v>3483</v>
      </c>
      <c r="T23" s="30">
        <v>3483</v>
      </c>
      <c r="U23" s="59">
        <v>3421</v>
      </c>
      <c r="V23" s="31">
        <v>3529</v>
      </c>
      <c r="W23" s="27">
        <v>43</v>
      </c>
      <c r="X23" s="27">
        <v>0</v>
      </c>
      <c r="Y23" s="27">
        <v>46</v>
      </c>
      <c r="Z23" s="27">
        <v>0</v>
      </c>
      <c r="AA23" s="27">
        <v>58</v>
      </c>
      <c r="AB23" s="27">
        <v>0</v>
      </c>
      <c r="AC23" s="32">
        <f t="shared" si="0"/>
        <v>108</v>
      </c>
      <c r="AD23" s="33">
        <f t="shared" si="1"/>
        <v>-62</v>
      </c>
      <c r="AE23" s="27">
        <v>149</v>
      </c>
      <c r="AF23" s="34">
        <f t="shared" si="2"/>
        <v>0.98685682326621926</v>
      </c>
      <c r="AG23" s="35">
        <f t="shared" si="14"/>
        <v>149.91666666666666</v>
      </c>
      <c r="AH23" s="34">
        <f t="shared" si="3"/>
        <v>0.95080600333518617</v>
      </c>
      <c r="AI23" s="36">
        <f t="shared" si="15"/>
        <v>1</v>
      </c>
      <c r="AJ23" s="37">
        <f t="shared" si="16"/>
        <v>1</v>
      </c>
      <c r="AK23" s="235">
        <v>7.9429999999999996</v>
      </c>
      <c r="AL23" s="386">
        <v>165.85</v>
      </c>
      <c r="AM23" s="38">
        <f t="shared" si="4"/>
        <v>1317.34655</v>
      </c>
      <c r="AN23" s="235">
        <v>28.51275</v>
      </c>
      <c r="AO23" s="380">
        <v>998.70230078563407</v>
      </c>
      <c r="AP23" s="39">
        <f t="shared" si="5"/>
        <v>28475.749026725589</v>
      </c>
      <c r="AQ23" s="201">
        <f t="shared" si="6"/>
        <v>8708.8849975812882</v>
      </c>
      <c r="AR23" s="198">
        <f t="shared" si="7"/>
        <v>145.125</v>
      </c>
      <c r="AS23" s="13"/>
      <c r="AT23" s="27">
        <v>0</v>
      </c>
      <c r="AU23" s="40">
        <v>0</v>
      </c>
      <c r="AV23" s="40">
        <v>0</v>
      </c>
      <c r="AW23" s="27">
        <v>0</v>
      </c>
      <c r="AX23" s="40">
        <v>0</v>
      </c>
      <c r="AY23" s="27">
        <v>0</v>
      </c>
      <c r="AZ23" s="27">
        <v>0</v>
      </c>
      <c r="BA23" s="4"/>
      <c r="BB23" s="52">
        <v>1038</v>
      </c>
      <c r="BC23" s="52">
        <v>1101</v>
      </c>
      <c r="BD23" s="52">
        <v>1390</v>
      </c>
      <c r="BE23" s="41">
        <f t="shared" si="8"/>
        <v>63</v>
      </c>
      <c r="BF23" s="41">
        <f t="shared" si="9"/>
        <v>8708.8849975812882</v>
      </c>
      <c r="BG23" s="60">
        <f t="shared" si="10"/>
        <v>57.916666666666664</v>
      </c>
      <c r="BH23" s="43">
        <v>1.823</v>
      </c>
      <c r="BI23" s="44">
        <v>1.829</v>
      </c>
      <c r="BJ23" s="45">
        <v>30.01</v>
      </c>
      <c r="BK23" s="47">
        <v>25.89</v>
      </c>
      <c r="BL23" s="47">
        <v>21.89</v>
      </c>
      <c r="BM23" s="47">
        <v>27.06</v>
      </c>
      <c r="BN23" s="47">
        <v>998.4</v>
      </c>
      <c r="BO23" s="45">
        <v>50.06</v>
      </c>
      <c r="BP23" s="48">
        <v>0.92090000000000005</v>
      </c>
      <c r="BQ23" s="42">
        <v>96.36</v>
      </c>
      <c r="BR23" s="42">
        <v>87.03</v>
      </c>
      <c r="BS23" s="49">
        <f t="shared" si="11"/>
        <v>-9.3299999999999983</v>
      </c>
      <c r="BT23" s="41">
        <v>11723</v>
      </c>
      <c r="BU23" s="41">
        <v>11309</v>
      </c>
      <c r="BV23" s="51">
        <f t="shared" si="12"/>
        <v>-414</v>
      </c>
      <c r="BW23" s="41">
        <f t="shared" si="13"/>
        <v>3.6520000000000001</v>
      </c>
      <c r="BX23" s="42">
        <v>24</v>
      </c>
      <c r="BY23" s="42">
        <v>24</v>
      </c>
      <c r="CA23" s="42">
        <v>24</v>
      </c>
      <c r="CB23" s="42">
        <v>6.6</v>
      </c>
      <c r="CD23" s="42">
        <v>2.1</v>
      </c>
      <c r="CE23" s="42">
        <v>4.9000000000000004</v>
      </c>
      <c r="CF23" s="42">
        <v>2</v>
      </c>
      <c r="CG23" s="42">
        <v>-0.8</v>
      </c>
    </row>
    <row r="24" spans="1:85">
      <c r="A24" s="452"/>
      <c r="B24" s="24">
        <v>43392</v>
      </c>
      <c r="C24" s="25">
        <v>79.8</v>
      </c>
      <c r="D24" s="26">
        <v>0.50900000000000001</v>
      </c>
      <c r="E24" s="38">
        <v>61.9</v>
      </c>
      <c r="F24" s="28">
        <v>91</v>
      </c>
      <c r="G24" s="28">
        <v>70</v>
      </c>
      <c r="H24" s="28">
        <v>24</v>
      </c>
      <c r="I24" s="28">
        <v>0</v>
      </c>
      <c r="J24" s="28">
        <v>24</v>
      </c>
      <c r="K24" s="28">
        <v>0</v>
      </c>
      <c r="L24" s="28">
        <v>0</v>
      </c>
      <c r="M24" s="28">
        <v>0</v>
      </c>
      <c r="N24" s="28">
        <v>0</v>
      </c>
      <c r="O24" s="28">
        <v>0</v>
      </c>
      <c r="P24" s="28">
        <v>24</v>
      </c>
      <c r="Q24" s="28">
        <v>0</v>
      </c>
      <c r="R24" s="67">
        <v>3593</v>
      </c>
      <c r="S24" s="68">
        <v>3526</v>
      </c>
      <c r="T24" s="69">
        <v>3526</v>
      </c>
      <c r="U24" s="70">
        <v>3448</v>
      </c>
      <c r="V24" s="70">
        <v>3558</v>
      </c>
      <c r="W24" s="28">
        <v>44</v>
      </c>
      <c r="X24" s="28">
        <v>0</v>
      </c>
      <c r="Y24" s="28">
        <v>46</v>
      </c>
      <c r="Z24" s="28">
        <v>0</v>
      </c>
      <c r="AA24" s="28">
        <v>59</v>
      </c>
      <c r="AB24" s="28">
        <v>0</v>
      </c>
      <c r="AC24" s="32">
        <f t="shared" si="0"/>
        <v>110</v>
      </c>
      <c r="AD24" s="33">
        <f t="shared" si="1"/>
        <v>-78</v>
      </c>
      <c r="AE24" s="28">
        <v>152</v>
      </c>
      <c r="AF24" s="34">
        <f t="shared" si="2"/>
        <v>0.97532894736842102</v>
      </c>
      <c r="AG24" s="35">
        <f t="shared" si="14"/>
        <v>149.70833333333334</v>
      </c>
      <c r="AH24" s="34">
        <f t="shared" si="3"/>
        <v>0.95964375173949346</v>
      </c>
      <c r="AI24" s="36">
        <f t="shared" si="15"/>
        <v>1</v>
      </c>
      <c r="AJ24" s="37">
        <f t="shared" si="16"/>
        <v>1</v>
      </c>
      <c r="AK24" s="235">
        <v>7.9</v>
      </c>
      <c r="AL24" s="386">
        <v>165.06</v>
      </c>
      <c r="AM24" s="38">
        <f t="shared" si="4"/>
        <v>1303.9740000000002</v>
      </c>
      <c r="AN24" s="235">
        <v>28.879630850000002</v>
      </c>
      <c r="AO24" s="380">
        <v>992.79753454066963</v>
      </c>
      <c r="AP24" s="39">
        <f t="shared" si="5"/>
        <v>28671.626306324666</v>
      </c>
      <c r="AQ24" s="201">
        <f t="shared" si="6"/>
        <v>8693.6195784004267</v>
      </c>
      <c r="AR24" s="198">
        <f t="shared" si="7"/>
        <v>146.91666666666666</v>
      </c>
      <c r="AS24" s="13"/>
      <c r="AT24" s="28">
        <v>0</v>
      </c>
      <c r="AU24" s="28">
        <v>0</v>
      </c>
      <c r="AV24" s="28">
        <v>0</v>
      </c>
      <c r="AW24" s="28">
        <v>0</v>
      </c>
      <c r="AX24" s="28">
        <v>0</v>
      </c>
      <c r="AY24" s="28">
        <v>0</v>
      </c>
      <c r="AZ24" s="28">
        <v>0</v>
      </c>
      <c r="BA24" s="4"/>
      <c r="BB24" s="52">
        <v>1043</v>
      </c>
      <c r="BC24" s="52">
        <v>1109</v>
      </c>
      <c r="BD24" s="52">
        <v>1406</v>
      </c>
      <c r="BE24" s="41">
        <f t="shared" si="8"/>
        <v>66</v>
      </c>
      <c r="BF24" s="41">
        <f t="shared" si="9"/>
        <v>8693.6195784004267</v>
      </c>
      <c r="BG24" s="60">
        <f t="shared" si="10"/>
        <v>58.583333333333336</v>
      </c>
      <c r="BH24" s="71">
        <v>1.863</v>
      </c>
      <c r="BI24" s="71">
        <v>1.865</v>
      </c>
      <c r="BJ24" s="72">
        <v>29.99</v>
      </c>
      <c r="BK24" s="72">
        <v>26.14</v>
      </c>
      <c r="BL24" s="72">
        <v>22.13</v>
      </c>
      <c r="BM24" s="72">
        <v>27.16</v>
      </c>
      <c r="BN24" s="73">
        <v>1000.4</v>
      </c>
      <c r="BO24" s="73">
        <v>50.12</v>
      </c>
      <c r="BP24" s="74">
        <v>0.92110000000000003</v>
      </c>
      <c r="BQ24" s="54">
        <v>95.96</v>
      </c>
      <c r="BR24" s="54">
        <v>86.95</v>
      </c>
      <c r="BS24" s="49">
        <f t="shared" si="11"/>
        <v>-9.0099999999999909</v>
      </c>
      <c r="BT24" s="55">
        <v>11780</v>
      </c>
      <c r="BU24" s="55">
        <v>11341</v>
      </c>
      <c r="BV24" s="51">
        <f t="shared" si="12"/>
        <v>-439</v>
      </c>
      <c r="BW24" s="41">
        <f t="shared" si="13"/>
        <v>3.7279999999999998</v>
      </c>
      <c r="BX24" s="73">
        <v>24</v>
      </c>
      <c r="BY24" s="73">
        <v>24</v>
      </c>
      <c r="CA24" s="73">
        <v>24</v>
      </c>
      <c r="CB24" s="73">
        <v>7.58</v>
      </c>
      <c r="CD24" s="73">
        <v>2.1</v>
      </c>
      <c r="CE24" s="73">
        <v>4.8899999999999997</v>
      </c>
      <c r="CF24" s="73">
        <v>2</v>
      </c>
      <c r="CG24" s="73">
        <v>-0.75</v>
      </c>
    </row>
    <row r="25" spans="1:85">
      <c r="A25" s="452"/>
      <c r="B25" s="24">
        <v>43393</v>
      </c>
      <c r="C25" s="25">
        <v>79.03</v>
      </c>
      <c r="D25" s="26">
        <v>0.53939999999999999</v>
      </c>
      <c r="E25" s="38">
        <v>62.39</v>
      </c>
      <c r="F25" s="75">
        <v>89</v>
      </c>
      <c r="G25" s="75">
        <v>68</v>
      </c>
      <c r="H25" s="27">
        <v>24</v>
      </c>
      <c r="I25" s="27">
        <v>0</v>
      </c>
      <c r="J25" s="27">
        <v>24</v>
      </c>
      <c r="K25" s="27">
        <v>0</v>
      </c>
      <c r="L25" s="29">
        <v>0</v>
      </c>
      <c r="M25" s="29">
        <v>0</v>
      </c>
      <c r="N25" s="29">
        <v>0</v>
      </c>
      <c r="O25" s="29">
        <v>0</v>
      </c>
      <c r="P25" s="29">
        <v>24</v>
      </c>
      <c r="Q25" s="29">
        <v>0</v>
      </c>
      <c r="R25" s="67">
        <v>3603</v>
      </c>
      <c r="S25" s="68">
        <v>3532</v>
      </c>
      <c r="T25" s="76">
        <v>3532</v>
      </c>
      <c r="U25" s="31">
        <v>3451</v>
      </c>
      <c r="V25" s="31">
        <v>3559</v>
      </c>
      <c r="W25" s="27">
        <v>44</v>
      </c>
      <c r="X25" s="27">
        <v>0</v>
      </c>
      <c r="Y25" s="27">
        <v>46</v>
      </c>
      <c r="Z25" s="27">
        <v>0</v>
      </c>
      <c r="AA25" s="27">
        <v>59</v>
      </c>
      <c r="AB25" s="27">
        <v>0</v>
      </c>
      <c r="AC25" s="32">
        <f t="shared" si="0"/>
        <v>108</v>
      </c>
      <c r="AD25" s="33">
        <f t="shared" si="1"/>
        <v>-81</v>
      </c>
      <c r="AE25" s="28">
        <v>152</v>
      </c>
      <c r="AF25" s="34">
        <f t="shared" si="2"/>
        <v>0.97560307017543857</v>
      </c>
      <c r="AG25" s="35">
        <f t="shared" si="14"/>
        <v>150.125</v>
      </c>
      <c r="AH25" s="34">
        <f t="shared" si="3"/>
        <v>0.95781293366638909</v>
      </c>
      <c r="AI25" s="36">
        <f t="shared" si="15"/>
        <v>1</v>
      </c>
      <c r="AJ25" s="37">
        <f t="shared" si="16"/>
        <v>1</v>
      </c>
      <c r="AK25" s="235">
        <v>7.8470000000000004</v>
      </c>
      <c r="AL25" s="386">
        <v>165.5</v>
      </c>
      <c r="AM25" s="38">
        <f t="shared" si="4"/>
        <v>1298.6785</v>
      </c>
      <c r="AN25" s="235">
        <v>29.074509760000002</v>
      </c>
      <c r="AO25" s="380">
        <v>986.48276810896323</v>
      </c>
      <c r="AP25" s="39">
        <f t="shared" si="5"/>
        <v>28681.502869455871</v>
      </c>
      <c r="AQ25" s="201">
        <f t="shared" si="6"/>
        <v>8687.3895593902835</v>
      </c>
      <c r="AR25" s="198">
        <f t="shared" si="7"/>
        <v>147.16666666666666</v>
      </c>
      <c r="AS25" s="13"/>
      <c r="AT25" s="28">
        <v>0</v>
      </c>
      <c r="AU25" s="28">
        <v>0</v>
      </c>
      <c r="AV25" s="28">
        <v>0</v>
      </c>
      <c r="AW25" s="28">
        <v>0</v>
      </c>
      <c r="AX25" s="28">
        <v>0</v>
      </c>
      <c r="AY25" s="28">
        <v>0</v>
      </c>
      <c r="AZ25" s="28">
        <v>0</v>
      </c>
      <c r="BA25" s="4"/>
      <c r="BB25" s="52">
        <v>1044</v>
      </c>
      <c r="BC25" s="52">
        <v>1108</v>
      </c>
      <c r="BD25" s="52">
        <v>1407</v>
      </c>
      <c r="BE25" s="41">
        <f t="shared" si="8"/>
        <v>64</v>
      </c>
      <c r="BF25" s="41">
        <f t="shared" si="9"/>
        <v>8687.3895593902835</v>
      </c>
      <c r="BG25" s="60">
        <f t="shared" si="10"/>
        <v>58.625</v>
      </c>
      <c r="BH25" s="43">
        <v>1.9119999999999999</v>
      </c>
      <c r="BI25" s="43">
        <v>1.9119999999999999</v>
      </c>
      <c r="BJ25" s="45">
        <v>30.29</v>
      </c>
      <c r="BK25" s="47">
        <v>26.25</v>
      </c>
      <c r="BL25" s="47">
        <v>22.23</v>
      </c>
      <c r="BM25" s="47">
        <v>27.14</v>
      </c>
      <c r="BN25" s="47">
        <v>1002.3</v>
      </c>
      <c r="BO25" s="45">
        <v>50.08</v>
      </c>
      <c r="BP25" s="48">
        <v>0.92100000000000004</v>
      </c>
      <c r="BQ25" s="54">
        <v>96.23</v>
      </c>
      <c r="BR25" s="54">
        <v>86.95</v>
      </c>
      <c r="BS25" s="49">
        <f t="shared" si="11"/>
        <v>-9.2800000000000011</v>
      </c>
      <c r="BT25" s="55">
        <v>11824</v>
      </c>
      <c r="BU25" s="55">
        <v>11382</v>
      </c>
      <c r="BV25" s="51">
        <f t="shared" si="12"/>
        <v>-442</v>
      </c>
      <c r="BW25" s="41">
        <f t="shared" si="13"/>
        <v>3.8239999999999998</v>
      </c>
      <c r="BX25" s="42">
        <v>24</v>
      </c>
      <c r="BY25" s="42">
        <v>24</v>
      </c>
      <c r="CA25" s="42">
        <v>24</v>
      </c>
      <c r="CB25" s="42">
        <v>7.72</v>
      </c>
      <c r="CD25" s="42">
        <v>2.1</v>
      </c>
      <c r="CE25" s="42">
        <v>4.75</v>
      </c>
      <c r="CF25" s="42">
        <v>2</v>
      </c>
      <c r="CG25" s="42">
        <v>-0.8</v>
      </c>
    </row>
    <row r="26" spans="1:85">
      <c r="A26" s="453"/>
      <c r="B26" s="24">
        <v>43394</v>
      </c>
      <c r="C26" s="25">
        <v>79</v>
      </c>
      <c r="D26" s="26">
        <v>0.55000000000000004</v>
      </c>
      <c r="E26" s="38">
        <v>63</v>
      </c>
      <c r="F26" s="28">
        <v>90</v>
      </c>
      <c r="G26" s="28">
        <v>68</v>
      </c>
      <c r="H26" s="27">
        <v>24</v>
      </c>
      <c r="I26" s="27">
        <v>0</v>
      </c>
      <c r="J26" s="27">
        <v>24</v>
      </c>
      <c r="K26" s="27">
        <v>0</v>
      </c>
      <c r="L26" s="29">
        <v>0</v>
      </c>
      <c r="M26" s="29">
        <v>0</v>
      </c>
      <c r="N26" s="29">
        <v>0</v>
      </c>
      <c r="O26" s="29">
        <v>0</v>
      </c>
      <c r="P26" s="29">
        <v>24</v>
      </c>
      <c r="Q26" s="29">
        <v>0</v>
      </c>
      <c r="R26" s="67">
        <v>3612</v>
      </c>
      <c r="S26" s="68">
        <v>3531</v>
      </c>
      <c r="T26" s="76">
        <v>3531</v>
      </c>
      <c r="U26" s="31">
        <v>3457</v>
      </c>
      <c r="V26" s="31">
        <v>3564</v>
      </c>
      <c r="W26" s="27">
        <v>43</v>
      </c>
      <c r="X26" s="28">
        <v>0</v>
      </c>
      <c r="Y26" s="28">
        <v>46</v>
      </c>
      <c r="Z26" s="28">
        <v>0</v>
      </c>
      <c r="AA26" s="28">
        <v>59</v>
      </c>
      <c r="AB26" s="28">
        <v>0</v>
      </c>
      <c r="AC26" s="32">
        <f t="shared" si="0"/>
        <v>107</v>
      </c>
      <c r="AD26" s="33">
        <f t="shared" si="1"/>
        <v>-74</v>
      </c>
      <c r="AE26" s="28">
        <v>152</v>
      </c>
      <c r="AF26" s="34">
        <f t="shared" si="2"/>
        <v>0.97697368421052633</v>
      </c>
      <c r="AG26" s="35">
        <f t="shared" si="14"/>
        <v>150.5</v>
      </c>
      <c r="AH26" s="34">
        <f t="shared" si="3"/>
        <v>0.95708748615725359</v>
      </c>
      <c r="AI26" s="36">
        <f t="shared" si="15"/>
        <v>1</v>
      </c>
      <c r="AJ26" s="37">
        <f t="shared" si="16"/>
        <v>1</v>
      </c>
      <c r="AK26" s="235">
        <v>7.819</v>
      </c>
      <c r="AL26" s="386">
        <v>164.7</v>
      </c>
      <c r="AM26" s="38">
        <f t="shared" si="4"/>
        <v>1287.7892999999999</v>
      </c>
      <c r="AN26" s="235">
        <v>29.124630850000003</v>
      </c>
      <c r="AO26" s="380">
        <v>986.67700000000002</v>
      </c>
      <c r="AP26" s="39">
        <f t="shared" si="5"/>
        <v>28736.603393185454</v>
      </c>
      <c r="AQ26" s="201">
        <f t="shared" si="6"/>
        <v>8685.1005765650734</v>
      </c>
      <c r="AR26" s="198">
        <f t="shared" si="7"/>
        <v>147.125</v>
      </c>
      <c r="AS26" s="13"/>
      <c r="AT26" s="27">
        <v>0</v>
      </c>
      <c r="AU26" s="40">
        <v>0</v>
      </c>
      <c r="AV26" s="40">
        <v>0</v>
      </c>
      <c r="AW26" s="27">
        <v>0</v>
      </c>
      <c r="AX26" s="40">
        <v>0</v>
      </c>
      <c r="AY26" s="27">
        <v>0</v>
      </c>
      <c r="AZ26" s="27">
        <v>0</v>
      </c>
      <c r="BA26" s="4"/>
      <c r="BB26" s="52">
        <v>1044</v>
      </c>
      <c r="BC26" s="52">
        <v>1109</v>
      </c>
      <c r="BD26" s="52">
        <v>1411</v>
      </c>
      <c r="BE26" s="41">
        <f t="shared" si="8"/>
        <v>65</v>
      </c>
      <c r="BF26" s="41">
        <f t="shared" si="9"/>
        <v>8685.1005765650734</v>
      </c>
      <c r="BG26" s="60">
        <f t="shared" si="10"/>
        <v>58.791666666666664</v>
      </c>
      <c r="BH26" s="43">
        <v>1.901</v>
      </c>
      <c r="BI26" s="44">
        <v>1.901</v>
      </c>
      <c r="BJ26" s="45">
        <v>30.21</v>
      </c>
      <c r="BK26" s="47">
        <v>26.24</v>
      </c>
      <c r="BL26" s="47">
        <v>22.27</v>
      </c>
      <c r="BM26" s="47">
        <v>27.06</v>
      </c>
      <c r="BN26" s="47">
        <v>1003.33</v>
      </c>
      <c r="BO26" s="45">
        <v>50.1</v>
      </c>
      <c r="BP26" s="48">
        <v>0.92120000000000002</v>
      </c>
      <c r="BQ26" s="54">
        <v>96.11</v>
      </c>
      <c r="BR26" s="54">
        <v>86.91</v>
      </c>
      <c r="BS26" s="49">
        <f t="shared" si="11"/>
        <v>-9.2000000000000028</v>
      </c>
      <c r="BT26" s="55">
        <v>11813</v>
      </c>
      <c r="BU26" s="55">
        <v>11370</v>
      </c>
      <c r="BV26" s="51">
        <f t="shared" si="12"/>
        <v>-443</v>
      </c>
      <c r="BW26" s="41">
        <f t="shared" si="13"/>
        <v>3.802</v>
      </c>
      <c r="BX26" s="42">
        <v>24</v>
      </c>
      <c r="BY26" s="42">
        <v>24</v>
      </c>
      <c r="CA26" s="42">
        <v>24</v>
      </c>
      <c r="CB26" s="42">
        <v>7.75</v>
      </c>
      <c r="CD26" s="42">
        <v>2.1</v>
      </c>
      <c r="CE26" s="42">
        <v>4.5999999999999996</v>
      </c>
      <c r="CF26" s="42">
        <v>2</v>
      </c>
      <c r="CG26" s="42">
        <v>-0.9</v>
      </c>
    </row>
    <row r="27" spans="1:85" ht="12.75" customHeight="1">
      <c r="A27" s="451" t="s">
        <v>300</v>
      </c>
      <c r="B27" s="24">
        <v>43395</v>
      </c>
      <c r="C27" s="157">
        <v>78</v>
      </c>
      <c r="D27" s="197">
        <v>0.53</v>
      </c>
      <c r="E27" s="171">
        <v>60</v>
      </c>
      <c r="F27" s="160">
        <v>92</v>
      </c>
      <c r="G27" s="160">
        <v>66</v>
      </c>
      <c r="H27" s="160">
        <v>24</v>
      </c>
      <c r="I27" s="160">
        <v>0</v>
      </c>
      <c r="J27" s="160">
        <v>24</v>
      </c>
      <c r="K27" s="160">
        <v>0</v>
      </c>
      <c r="L27" s="188">
        <v>0</v>
      </c>
      <c r="M27" s="188">
        <v>0</v>
      </c>
      <c r="N27" s="188">
        <v>0</v>
      </c>
      <c r="O27" s="188">
        <v>0</v>
      </c>
      <c r="P27" s="188">
        <v>24</v>
      </c>
      <c r="Q27" s="188">
        <v>0</v>
      </c>
      <c r="R27" s="189">
        <v>3621</v>
      </c>
      <c r="S27" s="190">
        <v>3538</v>
      </c>
      <c r="T27" s="190">
        <v>3538</v>
      </c>
      <c r="U27" s="164">
        <v>3479</v>
      </c>
      <c r="V27" s="164">
        <v>3590</v>
      </c>
      <c r="W27" s="160">
        <v>44</v>
      </c>
      <c r="X27" s="160">
        <v>0</v>
      </c>
      <c r="Y27" s="160">
        <v>46</v>
      </c>
      <c r="Z27" s="160">
        <v>0</v>
      </c>
      <c r="AA27" s="160">
        <v>59</v>
      </c>
      <c r="AB27" s="160">
        <v>0</v>
      </c>
      <c r="AC27" s="165">
        <f t="shared" si="0"/>
        <v>111</v>
      </c>
      <c r="AD27" s="166">
        <f t="shared" si="1"/>
        <v>-59</v>
      </c>
      <c r="AE27" s="160">
        <v>152</v>
      </c>
      <c r="AF27" s="167">
        <f t="shared" si="2"/>
        <v>0.98410087719298245</v>
      </c>
      <c r="AG27" s="168">
        <f t="shared" si="14"/>
        <v>150.875</v>
      </c>
      <c r="AH27" s="167">
        <f t="shared" si="3"/>
        <v>0.96078431372549022</v>
      </c>
      <c r="AI27" s="169">
        <f t="shared" si="15"/>
        <v>1</v>
      </c>
      <c r="AJ27" s="170">
        <f t="shared" si="16"/>
        <v>1</v>
      </c>
      <c r="AK27" s="376">
        <v>7.7889999999999997</v>
      </c>
      <c r="AL27" s="387">
        <v>165.76</v>
      </c>
      <c r="AM27" s="368">
        <f t="shared" si="4"/>
        <v>1291.1046399999998</v>
      </c>
      <c r="AN27" s="376">
        <v>29.224279289999998</v>
      </c>
      <c r="AO27" s="379">
        <v>988.87900000000002</v>
      </c>
      <c r="AP27" s="172">
        <f t="shared" si="5"/>
        <v>28899.276080015909</v>
      </c>
      <c r="AQ27" s="202">
        <f t="shared" si="6"/>
        <v>8677.8904052934486</v>
      </c>
      <c r="AR27" s="199">
        <f t="shared" si="7"/>
        <v>147.41666666666666</v>
      </c>
      <c r="AS27" s="13"/>
      <c r="AT27" s="159">
        <v>0</v>
      </c>
      <c r="AU27" s="174">
        <v>0</v>
      </c>
      <c r="AV27" s="174">
        <v>0</v>
      </c>
      <c r="AW27" s="159">
        <v>0</v>
      </c>
      <c r="AX27" s="174">
        <v>0</v>
      </c>
      <c r="AY27" s="159">
        <v>0</v>
      </c>
      <c r="AZ27" s="159">
        <v>0</v>
      </c>
      <c r="BA27" s="4"/>
      <c r="BB27" s="175">
        <v>1049</v>
      </c>
      <c r="BC27" s="175">
        <v>1116</v>
      </c>
      <c r="BD27" s="175">
        <v>1425</v>
      </c>
      <c r="BE27" s="175">
        <f t="shared" si="8"/>
        <v>67</v>
      </c>
      <c r="BF27" s="175">
        <f t="shared" si="9"/>
        <v>8677.8904052934486</v>
      </c>
      <c r="BG27" s="177">
        <f t="shared" si="10"/>
        <v>59.375</v>
      </c>
      <c r="BH27" s="191">
        <v>1.956</v>
      </c>
      <c r="BI27" s="155">
        <v>1.956</v>
      </c>
      <c r="BJ27" s="181">
        <v>30.3</v>
      </c>
      <c r="BK27" s="192">
        <v>26.21</v>
      </c>
      <c r="BL27" s="192">
        <v>22.25</v>
      </c>
      <c r="BM27" s="192">
        <v>27.08</v>
      </c>
      <c r="BN27" s="192">
        <v>1001.2</v>
      </c>
      <c r="BO27" s="192">
        <v>50.09</v>
      </c>
      <c r="BP27" s="193">
        <v>0.92090000000000005</v>
      </c>
      <c r="BQ27" s="194">
        <v>95.82</v>
      </c>
      <c r="BR27" s="194">
        <v>86.83</v>
      </c>
      <c r="BS27" s="49">
        <f t="shared" si="11"/>
        <v>-8.9899999999999949</v>
      </c>
      <c r="BT27" s="194">
        <v>11750</v>
      </c>
      <c r="BU27" s="194">
        <v>11317</v>
      </c>
      <c r="BV27" s="51">
        <f t="shared" si="12"/>
        <v>-433</v>
      </c>
      <c r="BW27" s="175">
        <f t="shared" si="13"/>
        <v>3.9119999999999999</v>
      </c>
      <c r="BX27" s="177">
        <v>24</v>
      </c>
      <c r="BY27" s="177">
        <v>24</v>
      </c>
      <c r="CA27" s="177">
        <v>24</v>
      </c>
      <c r="CB27" s="177">
        <v>8.1999999999999993</v>
      </c>
      <c r="CD27" s="177">
        <v>2.1</v>
      </c>
      <c r="CE27" s="177">
        <v>4.5</v>
      </c>
      <c r="CF27" s="177">
        <v>2.1</v>
      </c>
      <c r="CG27" s="177">
        <v>-1</v>
      </c>
    </row>
    <row r="28" spans="1:85">
      <c r="A28" s="452"/>
      <c r="B28" s="24">
        <v>43396</v>
      </c>
      <c r="C28" s="157">
        <v>76.2</v>
      </c>
      <c r="D28" s="197">
        <v>0.5</v>
      </c>
      <c r="E28" s="171">
        <v>59</v>
      </c>
      <c r="F28" s="160">
        <v>89</v>
      </c>
      <c r="G28" s="160">
        <v>64</v>
      </c>
      <c r="H28" s="160">
        <v>24</v>
      </c>
      <c r="I28" s="160">
        <v>0</v>
      </c>
      <c r="J28" s="160">
        <v>24</v>
      </c>
      <c r="K28" s="160">
        <v>0</v>
      </c>
      <c r="L28" s="188">
        <v>0</v>
      </c>
      <c r="M28" s="188">
        <v>0</v>
      </c>
      <c r="N28" s="188">
        <v>0</v>
      </c>
      <c r="O28" s="188">
        <v>0</v>
      </c>
      <c r="P28" s="188">
        <v>24</v>
      </c>
      <c r="Q28" s="188">
        <v>0</v>
      </c>
      <c r="R28" s="189">
        <v>3628</v>
      </c>
      <c r="S28" s="163">
        <v>3570</v>
      </c>
      <c r="T28" s="163">
        <v>3570</v>
      </c>
      <c r="U28" s="164">
        <v>3499</v>
      </c>
      <c r="V28" s="164">
        <v>3608</v>
      </c>
      <c r="W28" s="160">
        <v>44</v>
      </c>
      <c r="X28" s="160">
        <v>0</v>
      </c>
      <c r="Y28" s="160">
        <v>46</v>
      </c>
      <c r="Z28" s="160">
        <v>0</v>
      </c>
      <c r="AA28" s="160">
        <v>60</v>
      </c>
      <c r="AB28" s="160">
        <v>0</v>
      </c>
      <c r="AC28" s="165">
        <f t="shared" si="0"/>
        <v>109</v>
      </c>
      <c r="AD28" s="166">
        <f t="shared" si="1"/>
        <v>-71</v>
      </c>
      <c r="AE28" s="160">
        <v>154</v>
      </c>
      <c r="AF28" s="167">
        <f t="shared" si="2"/>
        <v>0.97619047619047616</v>
      </c>
      <c r="AG28" s="168">
        <f t="shared" si="14"/>
        <v>151.16666666666666</v>
      </c>
      <c r="AH28" s="167">
        <f t="shared" si="3"/>
        <v>0.96444321940463063</v>
      </c>
      <c r="AI28" s="169">
        <f t="shared" si="15"/>
        <v>1</v>
      </c>
      <c r="AJ28" s="170">
        <f t="shared" si="16"/>
        <v>1</v>
      </c>
      <c r="AK28" s="376">
        <v>7.7919999999999998</v>
      </c>
      <c r="AL28" s="387">
        <v>162.58000000000001</v>
      </c>
      <c r="AM28" s="368">
        <f t="shared" si="4"/>
        <v>1266.8233600000001</v>
      </c>
      <c r="AN28" s="376">
        <v>29.3418496</v>
      </c>
      <c r="AO28" s="379">
        <v>990.18439999999998</v>
      </c>
      <c r="AP28" s="172">
        <f t="shared" si="5"/>
        <v>29053.841741066241</v>
      </c>
      <c r="AQ28" s="202">
        <f t="shared" si="6"/>
        <v>8665.523035457627</v>
      </c>
      <c r="AR28" s="199">
        <f t="shared" si="7"/>
        <v>148.75</v>
      </c>
      <c r="AS28" s="13"/>
      <c r="AT28" s="159">
        <v>0</v>
      </c>
      <c r="AU28" s="174">
        <v>0</v>
      </c>
      <c r="AV28" s="159">
        <v>0</v>
      </c>
      <c r="AW28" s="159">
        <v>0</v>
      </c>
      <c r="AX28" s="174">
        <v>0</v>
      </c>
      <c r="AY28" s="159">
        <v>0</v>
      </c>
      <c r="AZ28" s="159">
        <v>0</v>
      </c>
      <c r="BA28" s="4"/>
      <c r="BB28" s="175">
        <v>1057</v>
      </c>
      <c r="BC28" s="175">
        <v>1119</v>
      </c>
      <c r="BD28" s="175">
        <v>1432</v>
      </c>
      <c r="BE28" s="175">
        <f t="shared" si="8"/>
        <v>62</v>
      </c>
      <c r="BF28" s="175">
        <f t="shared" si="9"/>
        <v>8665.523035457627</v>
      </c>
      <c r="BG28" s="177">
        <f t="shared" si="10"/>
        <v>59.666666666666664</v>
      </c>
      <c r="BH28" s="191">
        <v>1.9490000000000001</v>
      </c>
      <c r="BI28" s="155">
        <v>1.9490000000000001</v>
      </c>
      <c r="BJ28" s="181">
        <v>30.7</v>
      </c>
      <c r="BK28" s="192">
        <v>26.33</v>
      </c>
      <c r="BL28" s="192">
        <v>22.32</v>
      </c>
      <c r="BM28" s="192">
        <v>26.94</v>
      </c>
      <c r="BN28" s="195">
        <v>1000.1</v>
      </c>
      <c r="BO28" s="192">
        <v>50.1</v>
      </c>
      <c r="BP28" s="193">
        <v>0.92179999999999995</v>
      </c>
      <c r="BQ28" s="194">
        <v>96</v>
      </c>
      <c r="BR28" s="194">
        <v>86.74</v>
      </c>
      <c r="BS28" s="49">
        <f t="shared" si="11"/>
        <v>-9.2600000000000051</v>
      </c>
      <c r="BT28" s="194">
        <v>11710</v>
      </c>
      <c r="BU28" s="194">
        <v>11296</v>
      </c>
      <c r="BV28" s="51">
        <f t="shared" si="12"/>
        <v>-414</v>
      </c>
      <c r="BW28" s="175">
        <f t="shared" si="13"/>
        <v>3.8980000000000001</v>
      </c>
      <c r="BX28" s="177">
        <v>24</v>
      </c>
      <c r="BY28" s="177">
        <v>24</v>
      </c>
      <c r="CA28" s="177">
        <v>24</v>
      </c>
      <c r="CB28" s="177">
        <v>7.8</v>
      </c>
      <c r="CD28" s="177">
        <v>2.1</v>
      </c>
      <c r="CE28" s="177">
        <v>4.5999999999999996</v>
      </c>
      <c r="CF28" s="177">
        <v>2.1</v>
      </c>
      <c r="CG28" s="177">
        <v>-1</v>
      </c>
    </row>
    <row r="29" spans="1:85">
      <c r="A29" s="452"/>
      <c r="B29" s="24">
        <v>43397</v>
      </c>
      <c r="C29" s="157">
        <v>76.3</v>
      </c>
      <c r="D29" s="197">
        <v>0.55100000000000005</v>
      </c>
      <c r="E29" s="171">
        <v>60.6</v>
      </c>
      <c r="F29" s="160">
        <v>88</v>
      </c>
      <c r="G29" s="160">
        <v>65</v>
      </c>
      <c r="H29" s="160">
        <v>24</v>
      </c>
      <c r="I29" s="160">
        <v>0</v>
      </c>
      <c r="J29" s="160">
        <v>24</v>
      </c>
      <c r="K29" s="160">
        <v>0</v>
      </c>
      <c r="L29" s="188">
        <v>0</v>
      </c>
      <c r="M29" s="188">
        <v>0</v>
      </c>
      <c r="N29" s="188">
        <v>0</v>
      </c>
      <c r="O29" s="188">
        <v>0</v>
      </c>
      <c r="P29" s="188">
        <v>24</v>
      </c>
      <c r="Q29" s="188">
        <v>0</v>
      </c>
      <c r="R29" s="189">
        <v>3629</v>
      </c>
      <c r="S29" s="163">
        <v>3564</v>
      </c>
      <c r="T29" s="163">
        <v>3564</v>
      </c>
      <c r="U29" s="164">
        <v>3487</v>
      </c>
      <c r="V29" s="164">
        <v>3597</v>
      </c>
      <c r="W29" s="160">
        <v>44</v>
      </c>
      <c r="X29" s="160">
        <v>0</v>
      </c>
      <c r="Y29" s="160">
        <v>46</v>
      </c>
      <c r="Z29" s="160">
        <v>0</v>
      </c>
      <c r="AA29" s="160">
        <v>60</v>
      </c>
      <c r="AB29" s="160">
        <v>0</v>
      </c>
      <c r="AC29" s="165">
        <f t="shared" si="0"/>
        <v>110</v>
      </c>
      <c r="AD29" s="166">
        <f t="shared" si="1"/>
        <v>-77</v>
      </c>
      <c r="AE29" s="160">
        <v>153</v>
      </c>
      <c r="AF29" s="167">
        <f t="shared" si="2"/>
        <v>0.97957516339869277</v>
      </c>
      <c r="AG29" s="168">
        <f t="shared" si="14"/>
        <v>151.20833333333334</v>
      </c>
      <c r="AH29" s="167">
        <f t="shared" si="3"/>
        <v>0.96087076329567378</v>
      </c>
      <c r="AI29" s="169">
        <f t="shared" si="15"/>
        <v>1</v>
      </c>
      <c r="AJ29" s="170">
        <f t="shared" si="16"/>
        <v>1</v>
      </c>
      <c r="AK29" s="376">
        <v>7.7450000000000001</v>
      </c>
      <c r="AL29" s="387">
        <v>164.43</v>
      </c>
      <c r="AM29" s="368">
        <f t="shared" si="4"/>
        <v>1273.51035</v>
      </c>
      <c r="AN29" s="376">
        <v>29.362909999999999</v>
      </c>
      <c r="AO29" s="379">
        <v>991.41750000000002</v>
      </c>
      <c r="AP29" s="172">
        <f t="shared" si="5"/>
        <v>29110.902824925</v>
      </c>
      <c r="AQ29" s="202">
        <f t="shared" si="6"/>
        <v>8713.625802960998</v>
      </c>
      <c r="AR29" s="199">
        <f t="shared" si="7"/>
        <v>148.5</v>
      </c>
      <c r="AS29" s="13"/>
      <c r="AT29" s="159">
        <v>0</v>
      </c>
      <c r="AU29" s="174">
        <v>0</v>
      </c>
      <c r="AV29" s="174">
        <v>0</v>
      </c>
      <c r="AW29" s="159">
        <v>0</v>
      </c>
      <c r="AX29" s="174">
        <v>0</v>
      </c>
      <c r="AY29" s="159">
        <v>0</v>
      </c>
      <c r="AZ29" s="159">
        <v>0</v>
      </c>
      <c r="BA29" s="4"/>
      <c r="BB29" s="175">
        <v>1051</v>
      </c>
      <c r="BC29" s="175">
        <v>1110</v>
      </c>
      <c r="BD29" s="175">
        <v>1436</v>
      </c>
      <c r="BE29" s="175">
        <f t="shared" si="8"/>
        <v>59</v>
      </c>
      <c r="BF29" s="175">
        <f t="shared" si="9"/>
        <v>8713.625802960998</v>
      </c>
      <c r="BG29" s="177">
        <f t="shared" si="10"/>
        <v>59.833333333333336</v>
      </c>
      <c r="BH29" s="191">
        <v>2.008</v>
      </c>
      <c r="BI29" s="155">
        <v>2.008</v>
      </c>
      <c r="BJ29" s="181">
        <v>30.7</v>
      </c>
      <c r="BK29" s="192">
        <v>26.2</v>
      </c>
      <c r="BL29" s="192">
        <v>22.24</v>
      </c>
      <c r="BM29" s="192">
        <v>26.77</v>
      </c>
      <c r="BN29" s="195">
        <v>1000.8</v>
      </c>
      <c r="BO29" s="181">
        <v>50.12</v>
      </c>
      <c r="BP29" s="193">
        <v>0.92130000000000001</v>
      </c>
      <c r="BQ29" s="194">
        <v>96.19</v>
      </c>
      <c r="BR29" s="194">
        <v>86.79</v>
      </c>
      <c r="BS29" s="49">
        <f t="shared" si="11"/>
        <v>-9.3999999999999915</v>
      </c>
      <c r="BT29" s="194">
        <v>11719</v>
      </c>
      <c r="BU29" s="194">
        <v>11327</v>
      </c>
      <c r="BV29" s="51">
        <f t="shared" si="12"/>
        <v>-392</v>
      </c>
      <c r="BW29" s="175">
        <f t="shared" si="13"/>
        <v>4.016</v>
      </c>
      <c r="BX29" s="177">
        <v>24</v>
      </c>
      <c r="BY29" s="177">
        <v>24</v>
      </c>
      <c r="CA29" s="177">
        <v>24</v>
      </c>
      <c r="CB29" s="177">
        <v>7.55</v>
      </c>
      <c r="CD29" s="177">
        <v>2.1</v>
      </c>
      <c r="CE29" s="177">
        <v>4.8</v>
      </c>
      <c r="CF29" s="177">
        <v>2</v>
      </c>
      <c r="CG29" s="177">
        <v>-1</v>
      </c>
    </row>
    <row r="30" spans="1:85">
      <c r="A30" s="452"/>
      <c r="B30" s="24">
        <v>43398</v>
      </c>
      <c r="C30" s="157">
        <v>77.5</v>
      </c>
      <c r="D30" s="197">
        <v>0.55300000000000005</v>
      </c>
      <c r="E30" s="171">
        <v>61.7</v>
      </c>
      <c r="F30" s="160">
        <v>88</v>
      </c>
      <c r="G30" s="160">
        <v>68</v>
      </c>
      <c r="H30" s="160">
        <v>24</v>
      </c>
      <c r="I30" s="160">
        <v>0</v>
      </c>
      <c r="J30" s="160">
        <v>24</v>
      </c>
      <c r="K30" s="160">
        <v>0</v>
      </c>
      <c r="L30" s="188">
        <v>0</v>
      </c>
      <c r="M30" s="188">
        <v>0</v>
      </c>
      <c r="N30" s="188">
        <v>0</v>
      </c>
      <c r="O30" s="188">
        <v>0</v>
      </c>
      <c r="P30" s="188">
        <v>24</v>
      </c>
      <c r="Q30" s="188">
        <v>0</v>
      </c>
      <c r="R30" s="189">
        <v>3623</v>
      </c>
      <c r="S30" s="163">
        <v>3567</v>
      </c>
      <c r="T30" s="163">
        <v>3567</v>
      </c>
      <c r="U30" s="164">
        <v>3495</v>
      </c>
      <c r="V30" s="164">
        <v>3603</v>
      </c>
      <c r="W30" s="160">
        <v>44</v>
      </c>
      <c r="X30" s="160">
        <v>0</v>
      </c>
      <c r="Y30" s="160">
        <v>46</v>
      </c>
      <c r="Z30" s="160">
        <v>0</v>
      </c>
      <c r="AA30" s="160">
        <v>60</v>
      </c>
      <c r="AB30" s="160">
        <v>0</v>
      </c>
      <c r="AC30" s="165">
        <f t="shared" si="0"/>
        <v>108</v>
      </c>
      <c r="AD30" s="166">
        <f t="shared" si="1"/>
        <v>-72</v>
      </c>
      <c r="AE30" s="160">
        <v>153</v>
      </c>
      <c r="AF30" s="167">
        <f t="shared" si="2"/>
        <v>0.98120915032679734</v>
      </c>
      <c r="AG30" s="168">
        <f t="shared" si="14"/>
        <v>150.95833333333334</v>
      </c>
      <c r="AH30" s="167">
        <f t="shared" si="3"/>
        <v>0.96467016284846807</v>
      </c>
      <c r="AI30" s="169">
        <f t="shared" si="15"/>
        <v>1</v>
      </c>
      <c r="AJ30" s="170">
        <f t="shared" si="16"/>
        <v>1</v>
      </c>
      <c r="AK30" s="376">
        <v>7.7249999999999996</v>
      </c>
      <c r="AL30" s="387">
        <v>165.36</v>
      </c>
      <c r="AM30" s="368">
        <f t="shared" si="4"/>
        <v>1277.4059999999999</v>
      </c>
      <c r="AN30" s="376">
        <v>29.389790000000001</v>
      </c>
      <c r="AO30" s="379">
        <v>993.6</v>
      </c>
      <c r="AP30" s="172">
        <f t="shared" si="5"/>
        <v>29201.695344000003</v>
      </c>
      <c r="AQ30" s="202">
        <f t="shared" si="6"/>
        <v>8720.7729167381967</v>
      </c>
      <c r="AR30" s="199">
        <f t="shared" si="7"/>
        <v>148.625</v>
      </c>
      <c r="AS30" s="13"/>
      <c r="AT30" s="159">
        <v>0</v>
      </c>
      <c r="AU30" s="174">
        <v>0</v>
      </c>
      <c r="AV30" s="174">
        <v>0</v>
      </c>
      <c r="AW30" s="159">
        <v>0</v>
      </c>
      <c r="AX30" s="174">
        <v>0</v>
      </c>
      <c r="AY30" s="159">
        <v>0</v>
      </c>
      <c r="AZ30" s="159">
        <v>0</v>
      </c>
      <c r="BA30" s="4"/>
      <c r="BB30" s="175">
        <v>1046</v>
      </c>
      <c r="BC30" s="175">
        <v>1105</v>
      </c>
      <c r="BD30" s="175">
        <v>1452</v>
      </c>
      <c r="BE30" s="175">
        <f t="shared" si="8"/>
        <v>59</v>
      </c>
      <c r="BF30" s="175">
        <f t="shared" si="9"/>
        <v>8720.7729167381967</v>
      </c>
      <c r="BG30" s="177">
        <f t="shared" si="10"/>
        <v>60.5</v>
      </c>
      <c r="BH30" s="191">
        <v>2.1280000000000001</v>
      </c>
      <c r="BI30" s="155">
        <v>2.1280000000000001</v>
      </c>
      <c r="BJ30" s="181">
        <v>30.61</v>
      </c>
      <c r="BK30" s="192">
        <v>26.04</v>
      </c>
      <c r="BL30" s="195">
        <v>22.05</v>
      </c>
      <c r="BM30" s="192">
        <v>27.01</v>
      </c>
      <c r="BN30" s="192">
        <v>1002.33</v>
      </c>
      <c r="BO30" s="192">
        <v>50.07</v>
      </c>
      <c r="BP30" s="193">
        <v>0.92110000000000003</v>
      </c>
      <c r="BQ30" s="194">
        <v>96.28</v>
      </c>
      <c r="BR30" s="181">
        <v>86.84</v>
      </c>
      <c r="BS30" s="49">
        <f t="shared" si="11"/>
        <v>-9.4399999999999977</v>
      </c>
      <c r="BT30" s="194">
        <v>11705</v>
      </c>
      <c r="BU30" s="175">
        <v>11320</v>
      </c>
      <c r="BV30" s="51">
        <f t="shared" si="12"/>
        <v>-385</v>
      </c>
      <c r="BW30" s="175">
        <f t="shared" si="13"/>
        <v>4.2560000000000002</v>
      </c>
      <c r="BX30" s="177">
        <v>24</v>
      </c>
      <c r="BY30" s="177">
        <v>24</v>
      </c>
      <c r="CA30" s="177">
        <v>24</v>
      </c>
      <c r="CB30" s="177">
        <v>7.63</v>
      </c>
      <c r="CD30" s="177">
        <v>2</v>
      </c>
      <c r="CE30" s="177">
        <v>4.7</v>
      </c>
      <c r="CF30" s="177">
        <v>2.1</v>
      </c>
      <c r="CG30" s="177">
        <v>-1</v>
      </c>
    </row>
    <row r="31" spans="1:85">
      <c r="A31" s="452"/>
      <c r="B31" s="24">
        <v>43399</v>
      </c>
      <c r="C31" s="157">
        <v>77.8</v>
      </c>
      <c r="D31" s="197">
        <v>0.55300000000000005</v>
      </c>
      <c r="E31" s="171">
        <v>61.9</v>
      </c>
      <c r="F31" s="160">
        <v>89</v>
      </c>
      <c r="G31" s="160">
        <v>66</v>
      </c>
      <c r="H31" s="160">
        <v>24</v>
      </c>
      <c r="I31" s="160">
        <v>0</v>
      </c>
      <c r="J31" s="160">
        <v>24</v>
      </c>
      <c r="K31" s="160">
        <v>0</v>
      </c>
      <c r="L31" s="187">
        <v>0</v>
      </c>
      <c r="M31" s="187">
        <v>0</v>
      </c>
      <c r="N31" s="187">
        <v>0</v>
      </c>
      <c r="O31" s="187">
        <v>0</v>
      </c>
      <c r="P31" s="187">
        <v>24</v>
      </c>
      <c r="Q31" s="187">
        <v>0</v>
      </c>
      <c r="R31" s="189">
        <v>3622</v>
      </c>
      <c r="S31" s="163">
        <v>3569</v>
      </c>
      <c r="T31" s="163">
        <v>3569</v>
      </c>
      <c r="U31" s="164">
        <v>3497</v>
      </c>
      <c r="V31" s="164">
        <v>3606</v>
      </c>
      <c r="W31" s="160">
        <v>44</v>
      </c>
      <c r="X31" s="160">
        <v>0</v>
      </c>
      <c r="Y31" s="160">
        <v>46</v>
      </c>
      <c r="Z31" s="160">
        <v>0</v>
      </c>
      <c r="AA31" s="160">
        <v>60</v>
      </c>
      <c r="AB31" s="160">
        <v>0</v>
      </c>
      <c r="AC31" s="165">
        <f t="shared" si="0"/>
        <v>109</v>
      </c>
      <c r="AD31" s="166">
        <f t="shared" si="1"/>
        <v>-72</v>
      </c>
      <c r="AE31" s="160">
        <v>153</v>
      </c>
      <c r="AF31" s="167">
        <f t="shared" si="2"/>
        <v>0.98202614379084963</v>
      </c>
      <c r="AG31" s="168">
        <f t="shared" si="14"/>
        <v>150.91666666666666</v>
      </c>
      <c r="AH31" s="167">
        <f t="shared" si="3"/>
        <v>0.96548868028713419</v>
      </c>
      <c r="AI31" s="169">
        <f t="shared" si="15"/>
        <v>1</v>
      </c>
      <c r="AJ31" s="170">
        <f t="shared" si="16"/>
        <v>1</v>
      </c>
      <c r="AK31" s="376">
        <v>7.7169999999999996</v>
      </c>
      <c r="AL31" s="387">
        <v>163.93</v>
      </c>
      <c r="AM31" s="368">
        <f t="shared" si="4"/>
        <v>1265.04781</v>
      </c>
      <c r="AN31" s="376">
        <v>29.443920000000002</v>
      </c>
      <c r="AO31" s="379">
        <v>993.99900000000002</v>
      </c>
      <c r="AP31" s="172">
        <f t="shared" si="5"/>
        <v>29267.227036080003</v>
      </c>
      <c r="AQ31" s="202">
        <f t="shared" si="6"/>
        <v>8730.9908052845312</v>
      </c>
      <c r="AR31" s="199">
        <f t="shared" si="7"/>
        <v>148.70833333333334</v>
      </c>
      <c r="AS31" s="13"/>
      <c r="AT31" s="159">
        <v>0</v>
      </c>
      <c r="AU31" s="174">
        <v>0</v>
      </c>
      <c r="AV31" s="174">
        <v>0</v>
      </c>
      <c r="AW31" s="159">
        <v>0</v>
      </c>
      <c r="AX31" s="174">
        <v>0</v>
      </c>
      <c r="AY31" s="159">
        <v>0</v>
      </c>
      <c r="AZ31" s="159">
        <v>0</v>
      </c>
      <c r="BA31" s="4"/>
      <c r="BB31" s="175">
        <v>1047</v>
      </c>
      <c r="BC31" s="175">
        <v>1106</v>
      </c>
      <c r="BD31" s="175">
        <v>1453</v>
      </c>
      <c r="BE31" s="175">
        <f t="shared" si="8"/>
        <v>59</v>
      </c>
      <c r="BF31" s="175">
        <f t="shared" si="9"/>
        <v>8730.9908052845312</v>
      </c>
      <c r="BG31" s="177">
        <f t="shared" si="10"/>
        <v>60.541666666666664</v>
      </c>
      <c r="BH31" s="191">
        <v>2.1219999999999999</v>
      </c>
      <c r="BI31" s="155">
        <v>2.1219999999999999</v>
      </c>
      <c r="BJ31" s="181">
        <v>30.58</v>
      </c>
      <c r="BK31" s="192">
        <v>26.09</v>
      </c>
      <c r="BL31" s="192">
        <v>22.17</v>
      </c>
      <c r="BM31" s="192">
        <v>26.66</v>
      </c>
      <c r="BN31" s="192">
        <v>1004.46</v>
      </c>
      <c r="BO31" s="181">
        <v>50.1</v>
      </c>
      <c r="BP31" s="193">
        <v>0.93140000000000001</v>
      </c>
      <c r="BQ31" s="194">
        <v>96.17</v>
      </c>
      <c r="BR31" s="181">
        <v>86.76</v>
      </c>
      <c r="BS31" s="49">
        <f t="shared" si="11"/>
        <v>-9.4099999999999966</v>
      </c>
      <c r="BT31" s="194">
        <v>11706</v>
      </c>
      <c r="BU31" s="175">
        <v>11335</v>
      </c>
      <c r="BV31" s="51">
        <f t="shared" si="12"/>
        <v>-371</v>
      </c>
      <c r="BW31" s="175">
        <f t="shared" si="13"/>
        <v>4.2439999999999998</v>
      </c>
      <c r="BX31" s="177">
        <v>24</v>
      </c>
      <c r="BY31" s="177">
        <v>24</v>
      </c>
      <c r="CA31" s="177">
        <v>24</v>
      </c>
      <c r="CB31" s="177">
        <v>8.5299999999999994</v>
      </c>
      <c r="CD31" s="177">
        <v>2.1</v>
      </c>
      <c r="CE31" s="177">
        <v>4.7</v>
      </c>
      <c r="CF31" s="177">
        <v>2</v>
      </c>
      <c r="CG31" s="177">
        <v>-1</v>
      </c>
    </row>
    <row r="32" spans="1:85">
      <c r="A32" s="452"/>
      <c r="B32" s="24">
        <v>43400</v>
      </c>
      <c r="C32" s="171">
        <v>78.2</v>
      </c>
      <c r="D32" s="197">
        <v>0.55700000000000005</v>
      </c>
      <c r="E32" s="171">
        <v>62.1</v>
      </c>
      <c r="F32" s="159">
        <v>91</v>
      </c>
      <c r="G32" s="159">
        <v>68</v>
      </c>
      <c r="H32" s="160">
        <v>24</v>
      </c>
      <c r="I32" s="160">
        <v>0</v>
      </c>
      <c r="J32" s="160">
        <v>24</v>
      </c>
      <c r="K32" s="160">
        <v>0</v>
      </c>
      <c r="L32" s="187">
        <v>0</v>
      </c>
      <c r="M32" s="187">
        <v>0</v>
      </c>
      <c r="N32" s="187">
        <v>0</v>
      </c>
      <c r="O32" s="187">
        <v>0</v>
      </c>
      <c r="P32" s="187">
        <v>24</v>
      </c>
      <c r="Q32" s="187">
        <v>0</v>
      </c>
      <c r="R32" s="187">
        <v>3617</v>
      </c>
      <c r="S32" s="163">
        <v>3563</v>
      </c>
      <c r="T32" s="163">
        <v>3563</v>
      </c>
      <c r="U32" s="164">
        <v>3490</v>
      </c>
      <c r="V32" s="164">
        <v>3599</v>
      </c>
      <c r="W32" s="160">
        <v>43</v>
      </c>
      <c r="X32" s="160">
        <v>0</v>
      </c>
      <c r="Y32" s="160">
        <v>46</v>
      </c>
      <c r="Z32" s="160">
        <v>0</v>
      </c>
      <c r="AA32" s="160">
        <v>60</v>
      </c>
      <c r="AB32" s="160">
        <v>0</v>
      </c>
      <c r="AC32" s="165">
        <f t="shared" si="0"/>
        <v>109</v>
      </c>
      <c r="AD32" s="166">
        <f t="shared" si="1"/>
        <v>-73</v>
      </c>
      <c r="AE32" s="160">
        <v>153</v>
      </c>
      <c r="AF32" s="167">
        <f t="shared" si="2"/>
        <v>0.980119825708061</v>
      </c>
      <c r="AG32" s="168">
        <f t="shared" si="14"/>
        <v>150.70833333333334</v>
      </c>
      <c r="AH32" s="167">
        <f t="shared" si="3"/>
        <v>0.96488802875311031</v>
      </c>
      <c r="AI32" s="169">
        <f t="shared" si="15"/>
        <v>1</v>
      </c>
      <c r="AJ32" s="170">
        <f t="shared" si="16"/>
        <v>1</v>
      </c>
      <c r="AK32" s="376">
        <v>7.7</v>
      </c>
      <c r="AL32" s="387">
        <v>164.8</v>
      </c>
      <c r="AM32" s="368">
        <f t="shared" si="4"/>
        <v>1268.96</v>
      </c>
      <c r="AN32" s="376">
        <v>29.4163</v>
      </c>
      <c r="AO32" s="379">
        <v>993.81500000000005</v>
      </c>
      <c r="AP32" s="172">
        <f t="shared" si="5"/>
        <v>29234.360184500001</v>
      </c>
      <c r="AQ32" s="202">
        <f t="shared" si="6"/>
        <v>8740.2063565902572</v>
      </c>
      <c r="AR32" s="199">
        <f t="shared" si="7"/>
        <v>148.45833333333334</v>
      </c>
      <c r="AS32" s="13"/>
      <c r="AT32" s="159">
        <v>0</v>
      </c>
      <c r="AU32" s="174">
        <v>0</v>
      </c>
      <c r="AV32" s="159">
        <v>0</v>
      </c>
      <c r="AW32" s="159">
        <v>0</v>
      </c>
      <c r="AX32" s="174">
        <v>0</v>
      </c>
      <c r="AY32" s="159">
        <v>0</v>
      </c>
      <c r="AZ32" s="159">
        <v>0</v>
      </c>
      <c r="BA32" s="4"/>
      <c r="BB32" s="175">
        <v>1046</v>
      </c>
      <c r="BC32" s="175">
        <v>1102</v>
      </c>
      <c r="BD32" s="175">
        <v>1451</v>
      </c>
      <c r="BE32" s="175">
        <f t="shared" si="8"/>
        <v>56</v>
      </c>
      <c r="BF32" s="175">
        <f t="shared" si="9"/>
        <v>8740.2063565902572</v>
      </c>
      <c r="BG32" s="177">
        <f t="shared" si="10"/>
        <v>60.458333333333336</v>
      </c>
      <c r="BH32" s="191">
        <v>2.1219999999999999</v>
      </c>
      <c r="BI32" s="155">
        <v>2.1219999999999999</v>
      </c>
      <c r="BJ32" s="181">
        <v>30.45</v>
      </c>
      <c r="BK32" s="192">
        <v>26.09</v>
      </c>
      <c r="BL32" s="192">
        <v>22.1</v>
      </c>
      <c r="BM32" s="192">
        <v>26.8</v>
      </c>
      <c r="BN32" s="192">
        <v>1004.04</v>
      </c>
      <c r="BO32" s="192">
        <v>50.12</v>
      </c>
      <c r="BP32" s="193">
        <v>0.92120000000000002</v>
      </c>
      <c r="BQ32" s="192">
        <v>96.13</v>
      </c>
      <c r="BR32" s="181">
        <v>86.68</v>
      </c>
      <c r="BS32" s="49">
        <f t="shared" si="11"/>
        <v>-9.4499999999999886</v>
      </c>
      <c r="BT32" s="175">
        <v>11726</v>
      </c>
      <c r="BU32" s="175">
        <v>11365</v>
      </c>
      <c r="BV32" s="51">
        <f t="shared" si="12"/>
        <v>-361</v>
      </c>
      <c r="BW32" s="175">
        <f t="shared" si="13"/>
        <v>4.2439999999999998</v>
      </c>
      <c r="BX32" s="177">
        <v>24</v>
      </c>
      <c r="BY32" s="177">
        <v>24</v>
      </c>
      <c r="CA32" s="177">
        <v>24</v>
      </c>
      <c r="CB32" s="177">
        <v>8.08</v>
      </c>
      <c r="CD32" s="177">
        <v>2.1</v>
      </c>
      <c r="CE32" s="177">
        <v>4.7</v>
      </c>
      <c r="CF32" s="177">
        <v>2.1</v>
      </c>
      <c r="CG32" s="177">
        <v>-1</v>
      </c>
    </row>
    <row r="33" spans="1:85">
      <c r="A33" s="453"/>
      <c r="B33" s="24">
        <v>43401</v>
      </c>
      <c r="C33" s="157">
        <v>78.5</v>
      </c>
      <c r="D33" s="197">
        <v>0.54900000000000004</v>
      </c>
      <c r="E33" s="171">
        <v>62.2</v>
      </c>
      <c r="F33" s="159">
        <v>91</v>
      </c>
      <c r="G33" s="159">
        <v>67</v>
      </c>
      <c r="H33" s="160">
        <v>24</v>
      </c>
      <c r="I33" s="160">
        <v>0</v>
      </c>
      <c r="J33" s="160">
        <v>24</v>
      </c>
      <c r="K33" s="160">
        <v>0</v>
      </c>
      <c r="L33" s="187">
        <v>0</v>
      </c>
      <c r="M33" s="187">
        <v>0</v>
      </c>
      <c r="N33" s="187">
        <v>0</v>
      </c>
      <c r="O33" s="187">
        <v>0</v>
      </c>
      <c r="P33" s="187">
        <v>24</v>
      </c>
      <c r="Q33" s="187">
        <v>0</v>
      </c>
      <c r="R33" s="187">
        <v>3611</v>
      </c>
      <c r="S33" s="163">
        <v>3551</v>
      </c>
      <c r="T33" s="163">
        <v>3551</v>
      </c>
      <c r="U33" s="164">
        <v>3481</v>
      </c>
      <c r="V33" s="164">
        <v>3591</v>
      </c>
      <c r="W33" s="160">
        <v>43</v>
      </c>
      <c r="X33" s="160">
        <v>0</v>
      </c>
      <c r="Y33" s="160">
        <v>46</v>
      </c>
      <c r="Z33" s="159">
        <v>0</v>
      </c>
      <c r="AA33" s="160">
        <v>60</v>
      </c>
      <c r="AB33" s="159">
        <v>0</v>
      </c>
      <c r="AC33" s="165">
        <f t="shared" si="0"/>
        <v>110</v>
      </c>
      <c r="AD33" s="166">
        <f t="shared" si="1"/>
        <v>-70</v>
      </c>
      <c r="AE33" s="159">
        <v>152</v>
      </c>
      <c r="AF33" s="167">
        <f t="shared" si="2"/>
        <v>0.984375</v>
      </c>
      <c r="AG33" s="168">
        <f t="shared" si="14"/>
        <v>150.45833333333334</v>
      </c>
      <c r="AH33" s="167">
        <f t="shared" si="3"/>
        <v>0.96399889227360847</v>
      </c>
      <c r="AI33" s="169">
        <f t="shared" si="15"/>
        <v>1</v>
      </c>
      <c r="AJ33" s="170">
        <f t="shared" si="16"/>
        <v>1</v>
      </c>
      <c r="AK33" s="376">
        <v>7.6660000000000004</v>
      </c>
      <c r="AL33" s="387">
        <v>161.93</v>
      </c>
      <c r="AM33" s="368">
        <f t="shared" si="4"/>
        <v>1241.3553800000002</v>
      </c>
      <c r="AN33" s="376">
        <v>29.372820000000001</v>
      </c>
      <c r="AO33" s="379">
        <v>992.71420999999998</v>
      </c>
      <c r="AP33" s="172">
        <f t="shared" si="5"/>
        <v>29158.815801772202</v>
      </c>
      <c r="AQ33" s="202">
        <f t="shared" si="6"/>
        <v>8733.171841933985</v>
      </c>
      <c r="AR33" s="199">
        <f t="shared" si="7"/>
        <v>147.95833333333334</v>
      </c>
      <c r="AS33" s="13"/>
      <c r="AT33" s="159">
        <v>0</v>
      </c>
      <c r="AU33" s="174">
        <v>0</v>
      </c>
      <c r="AV33" s="174">
        <v>0</v>
      </c>
      <c r="AW33" s="159">
        <v>0</v>
      </c>
      <c r="AX33" s="174">
        <v>0</v>
      </c>
      <c r="AY33" s="159">
        <v>0</v>
      </c>
      <c r="AZ33" s="159">
        <v>0</v>
      </c>
      <c r="BA33" s="4"/>
      <c r="BB33" s="175">
        <v>1044</v>
      </c>
      <c r="BC33" s="175">
        <v>1098</v>
      </c>
      <c r="BD33" s="175">
        <v>1449</v>
      </c>
      <c r="BE33" s="175">
        <f t="shared" si="8"/>
        <v>54</v>
      </c>
      <c r="BF33" s="175">
        <f t="shared" si="9"/>
        <v>8733.171841933985</v>
      </c>
      <c r="BG33" s="177">
        <f t="shared" si="10"/>
        <v>60.375</v>
      </c>
      <c r="BH33" s="191">
        <v>2.1219999999999999</v>
      </c>
      <c r="BI33" s="155">
        <v>2.1219999999999999</v>
      </c>
      <c r="BJ33" s="181">
        <v>30.36</v>
      </c>
      <c r="BK33" s="192">
        <v>26.05</v>
      </c>
      <c r="BL33" s="192">
        <v>22.08</v>
      </c>
      <c r="BM33" s="192">
        <v>26.6</v>
      </c>
      <c r="BN33" s="179">
        <v>1003.7</v>
      </c>
      <c r="BO33" s="192">
        <v>50.04</v>
      </c>
      <c r="BP33" s="193">
        <v>0.92200000000000004</v>
      </c>
      <c r="BQ33" s="192">
        <v>96.08</v>
      </c>
      <c r="BR33" s="181">
        <v>86.63</v>
      </c>
      <c r="BS33" s="49">
        <f t="shared" si="11"/>
        <v>-9.4500000000000028</v>
      </c>
      <c r="BT33" s="175">
        <v>11738</v>
      </c>
      <c r="BU33" s="175">
        <v>11393</v>
      </c>
      <c r="BV33" s="51">
        <f t="shared" si="12"/>
        <v>-345</v>
      </c>
      <c r="BW33" s="175">
        <f t="shared" si="13"/>
        <v>4.2439999999999998</v>
      </c>
      <c r="BX33" s="177">
        <v>24</v>
      </c>
      <c r="BY33" s="177">
        <v>24</v>
      </c>
      <c r="CA33" s="177">
        <v>24</v>
      </c>
      <c r="CB33" s="177">
        <v>8.1</v>
      </c>
      <c r="CD33" s="177">
        <v>2.1</v>
      </c>
      <c r="CE33" s="177">
        <v>4.7</v>
      </c>
      <c r="CF33" s="177">
        <v>2</v>
      </c>
      <c r="CG33" s="177">
        <v>-1</v>
      </c>
    </row>
    <row r="34" spans="1:85" ht="12.75" customHeight="1">
      <c r="A34" s="451" t="s">
        <v>301</v>
      </c>
      <c r="B34" s="24">
        <v>43402</v>
      </c>
      <c r="C34" s="25">
        <v>78.290000000000006</v>
      </c>
      <c r="D34" s="26">
        <v>0.55779999999999996</v>
      </c>
      <c r="E34" s="38">
        <v>62.17</v>
      </c>
      <c r="F34" s="27">
        <v>92</v>
      </c>
      <c r="G34" s="27">
        <v>69</v>
      </c>
      <c r="H34" s="28">
        <v>18</v>
      </c>
      <c r="I34" s="28">
        <v>35</v>
      </c>
      <c r="J34" s="28">
        <v>24</v>
      </c>
      <c r="K34" s="28">
        <v>0</v>
      </c>
      <c r="L34" s="29">
        <v>4</v>
      </c>
      <c r="M34" s="29">
        <v>32</v>
      </c>
      <c r="N34" s="29">
        <v>0</v>
      </c>
      <c r="O34" s="29">
        <v>0</v>
      </c>
      <c r="P34" s="29">
        <v>18</v>
      </c>
      <c r="Q34" s="29">
        <v>24</v>
      </c>
      <c r="R34" s="29">
        <v>3610</v>
      </c>
      <c r="S34" s="30">
        <v>3550</v>
      </c>
      <c r="T34" s="30">
        <v>3159</v>
      </c>
      <c r="U34" s="31">
        <v>3109</v>
      </c>
      <c r="V34" s="31">
        <v>3209</v>
      </c>
      <c r="W34" s="28">
        <v>43</v>
      </c>
      <c r="X34" s="28">
        <v>0</v>
      </c>
      <c r="Y34" s="28">
        <v>46</v>
      </c>
      <c r="Z34" s="28">
        <v>0</v>
      </c>
      <c r="AA34" s="28">
        <v>60</v>
      </c>
      <c r="AB34" s="27">
        <v>0</v>
      </c>
      <c r="AC34" s="32">
        <f>V34-U34+AZ34</f>
        <v>100</v>
      </c>
      <c r="AD34" s="33">
        <f>U34-T34</f>
        <v>-50</v>
      </c>
      <c r="AE34" s="27">
        <v>150</v>
      </c>
      <c r="AF34" s="34">
        <f>IF(AE34&gt;0, V34/(AE34*24),"no data")</f>
        <v>0.8913888888888889</v>
      </c>
      <c r="AG34" s="35">
        <f>IF(R34&gt;0,R34/24,"no data")</f>
        <v>150.41666666666666</v>
      </c>
      <c r="AH34" s="34">
        <f>IF(U34&gt;0,(U34/R34),"no data")</f>
        <v>0.8612188365650969</v>
      </c>
      <c r="AI34" s="36">
        <f>(1440-((W34*X34)+(Y34*Z34)+(AA34*AB34))/(W34+Y34+AA34))/1440</f>
        <v>1</v>
      </c>
      <c r="AJ34" s="37">
        <f>IF(U34&gt;0,(1440-((X34*W34+AT34*AU34)+(Z34*Y34+AV34*AW34)+(AA34*AB34+AX34*AY34))/(W34+Y34+AA34))/1440,"no data")</f>
        <v>0.95013982102908268</v>
      </c>
      <c r="AK34" s="235">
        <v>7.6139999999999999</v>
      </c>
      <c r="AL34" s="235">
        <v>163.53</v>
      </c>
      <c r="AM34" s="38">
        <f>AK34*AL34</f>
        <v>1245.11742</v>
      </c>
      <c r="AN34" s="235">
        <v>26.228819999999999</v>
      </c>
      <c r="AO34" s="380">
        <v>994.01400000000001</v>
      </c>
      <c r="AP34" s="39">
        <f>AN34*AO34</f>
        <v>26071.814283479998</v>
      </c>
      <c r="AQ34" s="201">
        <f>IF(U34&gt;0,((((AK34*AL34)+(AN34*AO34))/(U34*1000))*1000000),"no data")</f>
        <v>8786.4045363396581</v>
      </c>
      <c r="AR34" s="198">
        <f>S34/24</f>
        <v>147.91666666666666</v>
      </c>
      <c r="AS34" s="13"/>
      <c r="AT34" s="27">
        <v>18</v>
      </c>
      <c r="AU34" s="40">
        <v>53</v>
      </c>
      <c r="AV34" s="40">
        <v>0</v>
      </c>
      <c r="AW34" s="27">
        <v>0</v>
      </c>
      <c r="AX34" s="40">
        <v>29</v>
      </c>
      <c r="AY34" s="27">
        <v>336</v>
      </c>
      <c r="AZ34" s="27">
        <v>0</v>
      </c>
      <c r="BA34" s="4"/>
      <c r="BB34" s="41">
        <v>818</v>
      </c>
      <c r="BC34" s="41">
        <v>1095</v>
      </c>
      <c r="BD34" s="41">
        <v>1296</v>
      </c>
      <c r="BE34" s="41">
        <f>BC34-BB34</f>
        <v>277</v>
      </c>
      <c r="BF34" s="41">
        <f>AQ34</f>
        <v>8786.4045363396581</v>
      </c>
      <c r="BG34" s="77">
        <f>BD34/24</f>
        <v>54</v>
      </c>
      <c r="BH34" s="43">
        <v>1.627</v>
      </c>
      <c r="BI34" s="44">
        <v>2.1520000000000001</v>
      </c>
      <c r="BJ34" s="45">
        <v>29.95</v>
      </c>
      <c r="BK34" s="45">
        <v>25.83</v>
      </c>
      <c r="BL34" s="46">
        <v>22.05</v>
      </c>
      <c r="BM34" s="45">
        <v>26.55</v>
      </c>
      <c r="BN34" s="47">
        <v>1003.08</v>
      </c>
      <c r="BO34" s="45">
        <v>50.06</v>
      </c>
      <c r="BP34" s="48">
        <v>0.92149999999999999</v>
      </c>
      <c r="BQ34" s="52">
        <v>96.08</v>
      </c>
      <c r="BR34" s="45">
        <v>86.6</v>
      </c>
      <c r="BS34" s="49">
        <f>BR34-BQ34</f>
        <v>-9.480000000000004</v>
      </c>
      <c r="BT34" s="41">
        <v>11780</v>
      </c>
      <c r="BU34" s="41">
        <v>11399</v>
      </c>
      <c r="BV34" s="51">
        <f>BU34-BT34</f>
        <v>-381</v>
      </c>
      <c r="BW34" s="41">
        <f>BH34+BI34</f>
        <v>3.7789999999999999</v>
      </c>
      <c r="BX34" s="42">
        <v>18.783333333333331</v>
      </c>
      <c r="BY34" s="42">
        <v>24</v>
      </c>
      <c r="CA34" s="42">
        <v>18.43</v>
      </c>
      <c r="CB34" s="42">
        <v>7.48</v>
      </c>
      <c r="CD34" s="42">
        <v>2.1</v>
      </c>
      <c r="CE34" s="42">
        <v>4.8</v>
      </c>
      <c r="CF34" s="42">
        <v>2.1</v>
      </c>
      <c r="CG34" s="42">
        <v>-0.8</v>
      </c>
    </row>
    <row r="35" spans="1:85">
      <c r="A35" s="452"/>
      <c r="B35" s="24">
        <v>43403</v>
      </c>
      <c r="C35" s="25">
        <v>77.8</v>
      </c>
      <c r="D35" s="26">
        <v>0.58199999999999996</v>
      </c>
      <c r="E35" s="38">
        <v>62.9</v>
      </c>
      <c r="F35" s="27">
        <v>91</v>
      </c>
      <c r="G35" s="27">
        <v>68</v>
      </c>
      <c r="H35" s="28">
        <v>14</v>
      </c>
      <c r="I35" s="28">
        <v>56</v>
      </c>
      <c r="J35" s="28">
        <v>24</v>
      </c>
      <c r="K35" s="28">
        <v>0</v>
      </c>
      <c r="L35" s="29">
        <v>8</v>
      </c>
      <c r="M35" s="29">
        <v>15</v>
      </c>
      <c r="N35" s="29">
        <v>0</v>
      </c>
      <c r="O35" s="29">
        <v>0</v>
      </c>
      <c r="P35" s="29">
        <v>14</v>
      </c>
      <c r="Q35" s="29">
        <v>52</v>
      </c>
      <c r="R35" s="29">
        <v>3618</v>
      </c>
      <c r="S35" s="30">
        <v>3538</v>
      </c>
      <c r="T35" s="30">
        <v>2873</v>
      </c>
      <c r="U35" s="31">
        <v>2824</v>
      </c>
      <c r="V35" s="31">
        <v>2921</v>
      </c>
      <c r="W35" s="28">
        <v>43</v>
      </c>
      <c r="X35" s="28">
        <v>0</v>
      </c>
      <c r="Y35" s="28">
        <v>46</v>
      </c>
      <c r="Z35" s="28">
        <v>0</v>
      </c>
      <c r="AA35" s="28">
        <v>60</v>
      </c>
      <c r="AB35" s="27">
        <v>0</v>
      </c>
      <c r="AC35" s="32">
        <v>97</v>
      </c>
      <c r="AD35" s="33">
        <f t="shared" si="1"/>
        <v>-49</v>
      </c>
      <c r="AE35" s="27">
        <v>151</v>
      </c>
      <c r="AF35" s="34">
        <f t="shared" si="2"/>
        <v>0.80601545253863138</v>
      </c>
      <c r="AG35" s="35">
        <f t="shared" si="14"/>
        <v>150.75</v>
      </c>
      <c r="AH35" s="34">
        <f t="shared" si="3"/>
        <v>0.78054173576561636</v>
      </c>
      <c r="AI35" s="36">
        <f>(1440-((W35*X35)+(Y35*Z35)+(AA35*AB35))/(W35+Y35+AA35))/1440</f>
        <v>1</v>
      </c>
      <c r="AJ35" s="37">
        <f t="shared" si="16"/>
        <v>0.92198918717375089</v>
      </c>
      <c r="AK35" s="235">
        <v>7.65</v>
      </c>
      <c r="AL35" s="235">
        <v>165.15</v>
      </c>
      <c r="AM35" s="38">
        <f t="shared" si="4"/>
        <v>1263.3975</v>
      </c>
      <c r="AN35" s="235">
        <v>23.76361</v>
      </c>
      <c r="AO35" s="380">
        <v>990.11069999999995</v>
      </c>
      <c r="AP35" s="39">
        <f t="shared" si="5"/>
        <v>23528.604531626999</v>
      </c>
      <c r="AQ35" s="201">
        <f t="shared" si="6"/>
        <v>8779.0375466101268</v>
      </c>
      <c r="AR35" s="198">
        <f t="shared" si="7"/>
        <v>147.41666666666666</v>
      </c>
      <c r="AS35" s="13"/>
      <c r="AT35" s="27">
        <v>18</v>
      </c>
      <c r="AU35" s="40">
        <v>47</v>
      </c>
      <c r="AV35" s="40">
        <v>0</v>
      </c>
      <c r="AW35" s="27">
        <v>0</v>
      </c>
      <c r="AX35" s="40">
        <v>29</v>
      </c>
      <c r="AY35" s="27">
        <v>548</v>
      </c>
      <c r="AZ35" s="27">
        <v>0</v>
      </c>
      <c r="BA35" s="4"/>
      <c r="BB35" s="41">
        <v>661</v>
      </c>
      <c r="BC35" s="41">
        <v>1091</v>
      </c>
      <c r="BD35" s="41">
        <v>1169</v>
      </c>
      <c r="BE35" s="41">
        <f t="shared" si="8"/>
        <v>430</v>
      </c>
      <c r="BF35" s="41">
        <f t="shared" si="9"/>
        <v>8779.0375466101268</v>
      </c>
      <c r="BG35" s="77">
        <f t="shared" si="10"/>
        <v>48.708333333333336</v>
      </c>
      <c r="BH35" s="43">
        <v>1.2949999999999999</v>
      </c>
      <c r="BI35" s="44">
        <v>2.0670000000000002</v>
      </c>
      <c r="BJ35" s="45">
        <v>29.85</v>
      </c>
      <c r="BK35" s="45">
        <v>16.88</v>
      </c>
      <c r="BL35" s="46">
        <v>22.06</v>
      </c>
      <c r="BM35" s="45">
        <v>26.52</v>
      </c>
      <c r="BN35" s="47">
        <v>1002.7</v>
      </c>
      <c r="BO35" s="45">
        <v>50.07</v>
      </c>
      <c r="BP35" s="48">
        <v>0.92100000000000004</v>
      </c>
      <c r="BQ35" s="52">
        <v>95.15</v>
      </c>
      <c r="BR35" s="45">
        <v>86.56</v>
      </c>
      <c r="BS35" s="49">
        <f t="shared" si="11"/>
        <v>-8.5900000000000034</v>
      </c>
      <c r="BT35" s="41">
        <v>11826</v>
      </c>
      <c r="BU35" s="41">
        <v>11443</v>
      </c>
      <c r="BV35" s="51">
        <f t="shared" si="12"/>
        <v>-383</v>
      </c>
      <c r="BW35" s="41">
        <f t="shared" si="13"/>
        <v>3.3620000000000001</v>
      </c>
      <c r="BX35" s="42">
        <v>15.25</v>
      </c>
      <c r="BY35" s="42">
        <v>24</v>
      </c>
      <c r="CA35" s="42">
        <v>14.23</v>
      </c>
      <c r="CB35" s="42">
        <v>7.05</v>
      </c>
      <c r="CD35" s="42">
        <v>2</v>
      </c>
      <c r="CE35" s="42">
        <v>4.5999999999999996</v>
      </c>
      <c r="CF35" s="42">
        <v>2</v>
      </c>
      <c r="CG35" s="42">
        <v>-1</v>
      </c>
    </row>
    <row r="36" spans="1:85">
      <c r="A36" s="452"/>
      <c r="B36" s="24">
        <v>43404</v>
      </c>
      <c r="C36" s="25">
        <v>77.599999999999994</v>
      </c>
      <c r="D36" s="26">
        <v>0.60099999999999998</v>
      </c>
      <c r="E36" s="38">
        <v>63.9</v>
      </c>
      <c r="F36" s="27">
        <v>91</v>
      </c>
      <c r="G36" s="27">
        <v>67</v>
      </c>
      <c r="H36" s="28">
        <v>15</v>
      </c>
      <c r="I36" s="28">
        <v>3</v>
      </c>
      <c r="J36" s="28">
        <v>22</v>
      </c>
      <c r="K36" s="28">
        <v>36</v>
      </c>
      <c r="L36" s="29">
        <v>6</v>
      </c>
      <c r="M36" s="29">
        <v>58</v>
      </c>
      <c r="N36" s="29">
        <v>0</v>
      </c>
      <c r="O36" s="29">
        <v>0</v>
      </c>
      <c r="P36" s="29">
        <v>13</v>
      </c>
      <c r="Q36" s="29">
        <v>35</v>
      </c>
      <c r="R36" s="29">
        <v>3621</v>
      </c>
      <c r="S36" s="30">
        <v>3353</v>
      </c>
      <c r="T36" s="30">
        <v>2757</v>
      </c>
      <c r="U36" s="31">
        <v>2707</v>
      </c>
      <c r="V36" s="31">
        <v>2798</v>
      </c>
      <c r="W36" s="28">
        <v>43</v>
      </c>
      <c r="X36" s="28">
        <v>69</v>
      </c>
      <c r="Y36" s="28">
        <v>46</v>
      </c>
      <c r="Z36" s="28">
        <v>35</v>
      </c>
      <c r="AA36" s="28">
        <v>60</v>
      </c>
      <c r="AB36" s="27">
        <v>54</v>
      </c>
      <c r="AC36" s="32">
        <f t="shared" si="0"/>
        <v>91</v>
      </c>
      <c r="AD36" s="33">
        <f t="shared" si="1"/>
        <v>-50</v>
      </c>
      <c r="AE36" s="27">
        <v>149</v>
      </c>
      <c r="AF36" s="34">
        <f t="shared" si="2"/>
        <v>0.78243847874720363</v>
      </c>
      <c r="AG36" s="35">
        <f t="shared" si="14"/>
        <v>150.875</v>
      </c>
      <c r="AH36" s="34">
        <f t="shared" si="3"/>
        <v>0.74758354045843689</v>
      </c>
      <c r="AI36" s="36">
        <f t="shared" si="15"/>
        <v>0.96356730052199846</v>
      </c>
      <c r="AJ36" s="37">
        <f t="shared" si="16"/>
        <v>0.87533090976882921</v>
      </c>
      <c r="AK36" s="235">
        <v>7.27</v>
      </c>
      <c r="AL36" s="235">
        <v>164.84</v>
      </c>
      <c r="AM36" s="38">
        <f t="shared" si="4"/>
        <v>1198.3868</v>
      </c>
      <c r="AN36" s="235">
        <v>22.87772</v>
      </c>
      <c r="AO36" s="380">
        <v>991.45600000000002</v>
      </c>
      <c r="AP36" s="39">
        <f t="shared" si="5"/>
        <v>22682.25276032</v>
      </c>
      <c r="AQ36" s="201">
        <f t="shared" si="6"/>
        <v>8821.8099594828236</v>
      </c>
      <c r="AR36" s="198">
        <f t="shared" si="7"/>
        <v>139.70833333333334</v>
      </c>
      <c r="AS36" s="13"/>
      <c r="AT36" s="27">
        <v>21</v>
      </c>
      <c r="AU36" s="40">
        <v>50</v>
      </c>
      <c r="AV36" s="40">
        <v>27</v>
      </c>
      <c r="AW36" s="27">
        <v>49</v>
      </c>
      <c r="AX36" s="40">
        <v>29</v>
      </c>
      <c r="AY36" s="27">
        <v>571</v>
      </c>
      <c r="AZ36" s="27">
        <v>0</v>
      </c>
      <c r="BA36" s="4"/>
      <c r="BB36" s="41">
        <v>650</v>
      </c>
      <c r="BC36" s="41">
        <v>1035</v>
      </c>
      <c r="BD36" s="41">
        <v>1113</v>
      </c>
      <c r="BE36" s="41">
        <f t="shared" si="8"/>
        <v>385</v>
      </c>
      <c r="BF36" s="41">
        <f t="shared" si="9"/>
        <v>8821.8099594828236</v>
      </c>
      <c r="BG36" s="77">
        <f t="shared" si="10"/>
        <v>46.375</v>
      </c>
      <c r="BH36" s="43">
        <v>1.2190000000000001</v>
      </c>
      <c r="BI36" s="44">
        <v>1.8320000000000001</v>
      </c>
      <c r="BJ36" s="45">
        <v>29.54</v>
      </c>
      <c r="BK36" s="46">
        <v>16.739999999999998</v>
      </c>
      <c r="BL36" s="45">
        <v>21.17</v>
      </c>
      <c r="BM36" s="45">
        <v>25.11</v>
      </c>
      <c r="BN36" s="47">
        <v>1002.79</v>
      </c>
      <c r="BO36" s="45">
        <v>50.07</v>
      </c>
      <c r="BP36" s="48">
        <v>0.92149999999999999</v>
      </c>
      <c r="BQ36" s="46">
        <v>93.87</v>
      </c>
      <c r="BR36" s="45">
        <v>86.42</v>
      </c>
      <c r="BS36" s="49">
        <f t="shared" si="11"/>
        <v>-7.4500000000000028</v>
      </c>
      <c r="BT36" s="41">
        <v>11876</v>
      </c>
      <c r="BU36" s="41">
        <v>11468</v>
      </c>
      <c r="BV36" s="51">
        <f t="shared" si="12"/>
        <v>-408</v>
      </c>
      <c r="BW36" s="41">
        <f t="shared" si="13"/>
        <v>3.0510000000000002</v>
      </c>
      <c r="BX36" s="42">
        <v>13.666700000000001</v>
      </c>
      <c r="BY36" s="42">
        <v>21.62</v>
      </c>
      <c r="CA36" s="42">
        <v>12.85</v>
      </c>
      <c r="CB36" s="42">
        <v>3.81</v>
      </c>
      <c r="CD36" s="42">
        <v>2.1</v>
      </c>
      <c r="CE36" s="42">
        <v>4.8</v>
      </c>
      <c r="CF36" s="42">
        <v>2.1</v>
      </c>
      <c r="CG36" s="42">
        <v>-1</v>
      </c>
    </row>
    <row r="37" spans="1:85">
      <c r="A37" s="452"/>
      <c r="B37" s="24">
        <v>43405</v>
      </c>
      <c r="C37" s="25"/>
      <c r="D37" s="26"/>
      <c r="E37" s="38"/>
      <c r="F37" s="27"/>
      <c r="G37" s="27"/>
      <c r="H37" s="28"/>
      <c r="I37" s="28"/>
      <c r="J37" s="28"/>
      <c r="K37" s="28"/>
      <c r="L37" s="29"/>
      <c r="M37" s="29"/>
      <c r="N37" s="29"/>
      <c r="O37" s="29"/>
      <c r="P37" s="29"/>
      <c r="Q37" s="29"/>
      <c r="R37" s="29"/>
      <c r="S37" s="30"/>
      <c r="T37" s="30"/>
      <c r="U37" s="31"/>
      <c r="V37" s="31"/>
      <c r="W37" s="28"/>
      <c r="X37" s="28"/>
      <c r="Y37" s="28"/>
      <c r="Z37" s="28"/>
      <c r="AA37" s="28"/>
      <c r="AB37" s="27"/>
      <c r="AC37" s="32">
        <f t="shared" si="0"/>
        <v>0</v>
      </c>
      <c r="AD37" s="33">
        <f t="shared" si="1"/>
        <v>0</v>
      </c>
      <c r="AE37" s="27"/>
      <c r="AF37" s="34" t="str">
        <f t="shared" si="2"/>
        <v>no data</v>
      </c>
      <c r="AG37" s="35" t="str">
        <f t="shared" si="14"/>
        <v>no data</v>
      </c>
      <c r="AH37" s="34" t="str">
        <f t="shared" si="3"/>
        <v>no data</v>
      </c>
      <c r="AI37" s="36" t="e">
        <f t="shared" si="15"/>
        <v>#DIV/0!</v>
      </c>
      <c r="AJ37" s="37" t="str">
        <f t="shared" si="16"/>
        <v>no data</v>
      </c>
      <c r="AK37" s="44"/>
      <c r="AL37" s="381"/>
      <c r="AM37" s="38">
        <f t="shared" si="4"/>
        <v>0</v>
      </c>
      <c r="AN37" s="44"/>
      <c r="AO37" s="381"/>
      <c r="AP37" s="39">
        <f t="shared" si="5"/>
        <v>0</v>
      </c>
      <c r="AQ37" s="201" t="str">
        <f t="shared" si="6"/>
        <v>no data</v>
      </c>
      <c r="AR37" s="198">
        <f t="shared" si="7"/>
        <v>0</v>
      </c>
      <c r="AS37" s="13"/>
      <c r="AT37" s="27"/>
      <c r="AU37" s="40"/>
      <c r="AV37" s="40"/>
      <c r="AW37" s="27"/>
      <c r="AX37" s="40"/>
      <c r="AY37" s="27"/>
      <c r="AZ37" s="27"/>
      <c r="BA37" s="4"/>
      <c r="BB37" s="41"/>
      <c r="BC37" s="41"/>
      <c r="BD37" s="41"/>
      <c r="BE37" s="41">
        <f t="shared" si="8"/>
        <v>0</v>
      </c>
      <c r="BF37" s="41" t="str">
        <f t="shared" si="9"/>
        <v>no data</v>
      </c>
      <c r="BG37" s="77">
        <f t="shared" si="10"/>
        <v>0</v>
      </c>
      <c r="BH37" s="43"/>
      <c r="BI37" s="44"/>
      <c r="BJ37" s="45"/>
      <c r="BK37" s="46"/>
      <c r="BL37" s="45"/>
      <c r="BM37" s="45"/>
      <c r="BN37" s="47"/>
      <c r="BO37" s="45"/>
      <c r="BP37" s="53"/>
      <c r="BQ37" s="45"/>
      <c r="BR37" s="45"/>
      <c r="BS37" s="49">
        <f t="shared" si="11"/>
        <v>0</v>
      </c>
      <c r="BT37" s="41"/>
      <c r="BU37" s="41"/>
      <c r="BV37" s="51">
        <f t="shared" si="12"/>
        <v>0</v>
      </c>
      <c r="BW37" s="41">
        <f t="shared" si="13"/>
        <v>0</v>
      </c>
      <c r="BX37" s="42"/>
      <c r="BY37" s="42"/>
      <c r="CA37" s="42"/>
      <c r="CB37" s="42"/>
      <c r="CD37" s="42"/>
      <c r="CE37" s="42"/>
      <c r="CF37" s="42"/>
      <c r="CG37" s="42"/>
    </row>
    <row r="38" spans="1:85">
      <c r="A38" s="452"/>
      <c r="B38" s="24">
        <v>43406</v>
      </c>
      <c r="C38" s="25"/>
      <c r="D38" s="26"/>
      <c r="E38" s="38"/>
      <c r="F38" s="27"/>
      <c r="G38" s="27"/>
      <c r="H38" s="28"/>
      <c r="I38" s="28"/>
      <c r="J38" s="28"/>
      <c r="K38" s="28"/>
      <c r="L38" s="29"/>
      <c r="M38" s="29"/>
      <c r="N38" s="29"/>
      <c r="O38" s="29"/>
      <c r="P38" s="29"/>
      <c r="Q38" s="29"/>
      <c r="R38" s="29"/>
      <c r="S38" s="30"/>
      <c r="T38" s="30"/>
      <c r="U38" s="31"/>
      <c r="V38" s="31"/>
      <c r="W38" s="28"/>
      <c r="X38" s="28"/>
      <c r="Y38" s="28"/>
      <c r="Z38" s="28"/>
      <c r="AA38" s="28"/>
      <c r="AB38" s="27"/>
      <c r="AC38" s="32">
        <f t="shared" si="0"/>
        <v>0</v>
      </c>
      <c r="AD38" s="33">
        <f t="shared" si="1"/>
        <v>0</v>
      </c>
      <c r="AE38" s="27"/>
      <c r="AF38" s="34" t="str">
        <f t="shared" si="2"/>
        <v>no data</v>
      </c>
      <c r="AG38" s="35" t="str">
        <f t="shared" si="14"/>
        <v>no data</v>
      </c>
      <c r="AH38" s="34" t="str">
        <f t="shared" si="3"/>
        <v>no data</v>
      </c>
      <c r="AI38" s="36" t="e">
        <f t="shared" si="15"/>
        <v>#DIV/0!</v>
      </c>
      <c r="AJ38" s="37" t="str">
        <f t="shared" si="16"/>
        <v>no data</v>
      </c>
      <c r="AK38" s="44"/>
      <c r="AL38" s="381"/>
      <c r="AM38" s="38">
        <f t="shared" si="4"/>
        <v>0</v>
      </c>
      <c r="AN38" s="44"/>
      <c r="AO38" s="381"/>
      <c r="AP38" s="39">
        <f t="shared" si="5"/>
        <v>0</v>
      </c>
      <c r="AQ38" s="201" t="str">
        <f t="shared" si="6"/>
        <v>no data</v>
      </c>
      <c r="AR38" s="198">
        <f t="shared" si="7"/>
        <v>0</v>
      </c>
      <c r="AS38" s="13"/>
      <c r="AT38" s="27"/>
      <c r="AU38" s="40"/>
      <c r="AV38" s="40"/>
      <c r="AW38" s="27"/>
      <c r="AX38" s="40"/>
      <c r="AY38" s="27"/>
      <c r="AZ38" s="27"/>
      <c r="BA38" s="4"/>
      <c r="BB38" s="41"/>
      <c r="BC38" s="41"/>
      <c r="BD38" s="41"/>
      <c r="BE38" s="41">
        <f t="shared" si="8"/>
        <v>0</v>
      </c>
      <c r="BF38" s="41" t="str">
        <f t="shared" si="9"/>
        <v>no data</v>
      </c>
      <c r="BG38" s="77">
        <f t="shared" si="10"/>
        <v>0</v>
      </c>
      <c r="BH38" s="43"/>
      <c r="BI38" s="44"/>
      <c r="BJ38" s="45"/>
      <c r="BK38" s="46"/>
      <c r="BL38" s="47"/>
      <c r="BM38" s="47"/>
      <c r="BN38" s="47"/>
      <c r="BO38" s="45"/>
      <c r="BP38" s="48"/>
      <c r="BQ38" s="42"/>
      <c r="BR38" s="42"/>
      <c r="BS38" s="49">
        <f t="shared" si="11"/>
        <v>0</v>
      </c>
      <c r="BT38" s="41"/>
      <c r="BU38" s="41"/>
      <c r="BV38" s="51">
        <f t="shared" si="12"/>
        <v>0</v>
      </c>
      <c r="BW38" s="41">
        <f t="shared" si="13"/>
        <v>0</v>
      </c>
      <c r="BX38" s="42"/>
      <c r="BY38" s="42"/>
      <c r="CA38" s="42"/>
      <c r="CB38" s="42"/>
      <c r="CD38" s="42"/>
      <c r="CE38" s="42"/>
      <c r="CF38" s="42"/>
      <c r="CG38" s="42"/>
    </row>
    <row r="39" spans="1:85">
      <c r="A39" s="452"/>
      <c r="B39" s="24">
        <v>43407</v>
      </c>
      <c r="C39" s="25"/>
      <c r="D39" s="26"/>
      <c r="E39" s="38"/>
      <c r="F39" s="27"/>
      <c r="G39" s="27"/>
      <c r="H39" s="28"/>
      <c r="I39" s="28"/>
      <c r="J39" s="28"/>
      <c r="K39" s="28"/>
      <c r="L39" s="29"/>
      <c r="M39" s="29"/>
      <c r="N39" s="29"/>
      <c r="O39" s="29"/>
      <c r="P39" s="29"/>
      <c r="Q39" s="29"/>
      <c r="R39" s="29"/>
      <c r="S39" s="30"/>
      <c r="T39" s="30"/>
      <c r="U39" s="31"/>
      <c r="V39" s="31"/>
      <c r="W39" s="28"/>
      <c r="X39" s="28"/>
      <c r="Y39" s="28"/>
      <c r="Z39" s="28"/>
      <c r="AA39" s="28"/>
      <c r="AB39" s="27"/>
      <c r="AC39" s="32">
        <f t="shared" si="0"/>
        <v>0</v>
      </c>
      <c r="AD39" s="33">
        <f t="shared" si="1"/>
        <v>0</v>
      </c>
      <c r="AE39" s="27"/>
      <c r="AF39" s="34" t="str">
        <f t="shared" si="2"/>
        <v>no data</v>
      </c>
      <c r="AG39" s="35" t="str">
        <f t="shared" si="14"/>
        <v>no data</v>
      </c>
      <c r="AH39" s="34" t="str">
        <f t="shared" si="3"/>
        <v>no data</v>
      </c>
      <c r="AI39" s="36" t="e">
        <f t="shared" si="15"/>
        <v>#DIV/0!</v>
      </c>
      <c r="AJ39" s="37" t="str">
        <f t="shared" si="16"/>
        <v>no data</v>
      </c>
      <c r="AK39" s="44"/>
      <c r="AL39" s="381"/>
      <c r="AM39" s="38">
        <f t="shared" si="4"/>
        <v>0</v>
      </c>
      <c r="AN39" s="44"/>
      <c r="AO39" s="381"/>
      <c r="AP39" s="39">
        <f t="shared" si="5"/>
        <v>0</v>
      </c>
      <c r="AQ39" s="201" t="str">
        <f t="shared" si="6"/>
        <v>no data</v>
      </c>
      <c r="AR39" s="198">
        <f t="shared" si="7"/>
        <v>0</v>
      </c>
      <c r="AS39" s="13"/>
      <c r="AT39" s="27"/>
      <c r="AU39" s="40"/>
      <c r="AV39" s="40"/>
      <c r="AW39" s="27"/>
      <c r="AX39" s="40"/>
      <c r="AY39" s="27"/>
      <c r="AZ39" s="27"/>
      <c r="BA39" s="4"/>
      <c r="BB39" s="41"/>
      <c r="BC39" s="41"/>
      <c r="BD39" s="41"/>
      <c r="BE39" s="41">
        <f t="shared" si="8"/>
        <v>0</v>
      </c>
      <c r="BF39" s="41" t="str">
        <f t="shared" si="9"/>
        <v>no data</v>
      </c>
      <c r="BG39" s="77">
        <f t="shared" si="10"/>
        <v>0</v>
      </c>
      <c r="BH39" s="43"/>
      <c r="BI39" s="44"/>
      <c r="BJ39" s="45"/>
      <c r="BK39" s="46"/>
      <c r="BL39" s="47"/>
      <c r="BM39" s="47"/>
      <c r="BN39" s="47"/>
      <c r="BO39" s="45"/>
      <c r="BP39" s="48"/>
      <c r="BQ39" s="42"/>
      <c r="BR39" s="42"/>
      <c r="BS39" s="49">
        <f t="shared" si="11"/>
        <v>0</v>
      </c>
      <c r="BT39" s="41"/>
      <c r="BU39" s="41"/>
      <c r="BV39" s="51">
        <f t="shared" si="12"/>
        <v>0</v>
      </c>
      <c r="BW39" s="41">
        <f t="shared" si="13"/>
        <v>0</v>
      </c>
      <c r="BX39" s="41"/>
      <c r="BY39" s="41"/>
      <c r="CA39" s="41"/>
      <c r="CB39" s="41"/>
      <c r="CD39" s="41"/>
      <c r="CE39" s="41"/>
      <c r="CF39" s="41"/>
      <c r="CG39" s="41"/>
    </row>
    <row r="40" spans="1:85">
      <c r="A40" s="453"/>
      <c r="B40" s="24">
        <v>43408</v>
      </c>
      <c r="C40" s="25"/>
      <c r="D40" s="26"/>
      <c r="E40" s="38"/>
      <c r="F40" s="27"/>
      <c r="G40" s="27"/>
      <c r="H40" s="28"/>
      <c r="I40" s="28"/>
      <c r="J40" s="28"/>
      <c r="K40" s="28"/>
      <c r="L40" s="29"/>
      <c r="M40" s="29"/>
      <c r="N40" s="29"/>
      <c r="O40" s="29"/>
      <c r="P40" s="29"/>
      <c r="Q40" s="29"/>
      <c r="R40" s="29"/>
      <c r="S40" s="30"/>
      <c r="T40" s="30"/>
      <c r="U40" s="31"/>
      <c r="V40" s="31"/>
      <c r="W40" s="28"/>
      <c r="X40" s="28"/>
      <c r="Y40" s="28"/>
      <c r="Z40" s="28"/>
      <c r="AA40" s="28"/>
      <c r="AB40" s="27"/>
      <c r="AC40" s="32">
        <f t="shared" si="0"/>
        <v>0</v>
      </c>
      <c r="AD40" s="33">
        <f t="shared" si="1"/>
        <v>0</v>
      </c>
      <c r="AE40" s="27"/>
      <c r="AF40" s="34" t="str">
        <f t="shared" si="2"/>
        <v>no data</v>
      </c>
      <c r="AG40" s="35" t="str">
        <f t="shared" si="14"/>
        <v>no data</v>
      </c>
      <c r="AH40" s="34" t="str">
        <f t="shared" si="3"/>
        <v>no data</v>
      </c>
      <c r="AI40" s="36" t="e">
        <f t="shared" si="15"/>
        <v>#DIV/0!</v>
      </c>
      <c r="AJ40" s="37" t="str">
        <f t="shared" si="16"/>
        <v>no data</v>
      </c>
      <c r="AK40" s="44"/>
      <c r="AL40" s="381"/>
      <c r="AM40" s="38">
        <f t="shared" si="4"/>
        <v>0</v>
      </c>
      <c r="AN40" s="44"/>
      <c r="AO40" s="381"/>
      <c r="AP40" s="39">
        <f t="shared" si="5"/>
        <v>0</v>
      </c>
      <c r="AQ40" s="201" t="str">
        <f t="shared" si="6"/>
        <v>no data</v>
      </c>
      <c r="AR40" s="198">
        <f t="shared" si="7"/>
        <v>0</v>
      </c>
      <c r="AS40" s="13"/>
      <c r="AT40" s="27"/>
      <c r="AU40" s="40"/>
      <c r="AV40" s="40"/>
      <c r="AW40" s="27"/>
      <c r="AX40" s="40"/>
      <c r="AY40" s="27"/>
      <c r="AZ40" s="27"/>
      <c r="BA40" s="4"/>
      <c r="BB40" s="41"/>
      <c r="BC40" s="41"/>
      <c r="BD40" s="41"/>
      <c r="BE40" s="41">
        <f t="shared" si="8"/>
        <v>0</v>
      </c>
      <c r="BF40" s="41" t="str">
        <f t="shared" si="9"/>
        <v>no data</v>
      </c>
      <c r="BG40" s="77">
        <f t="shared" si="10"/>
        <v>0</v>
      </c>
      <c r="BH40" s="43"/>
      <c r="BI40" s="44"/>
      <c r="BJ40" s="45"/>
      <c r="BK40" s="46"/>
      <c r="BL40" s="47"/>
      <c r="BM40" s="47"/>
      <c r="BN40" s="47"/>
      <c r="BO40" s="45"/>
      <c r="BP40" s="48"/>
      <c r="BQ40" s="42"/>
      <c r="BR40" s="42"/>
      <c r="BS40" s="49">
        <f t="shared" si="11"/>
        <v>0</v>
      </c>
      <c r="BT40" s="41"/>
      <c r="BU40" s="41"/>
      <c r="BV40" s="51">
        <f t="shared" si="12"/>
        <v>0</v>
      </c>
      <c r="BW40" s="41">
        <f t="shared" si="13"/>
        <v>0</v>
      </c>
      <c r="BX40" s="78"/>
      <c r="BY40" s="78"/>
      <c r="CA40" s="78"/>
      <c r="CB40" s="78"/>
      <c r="CD40" s="78"/>
      <c r="CE40" s="78"/>
      <c r="CF40" s="78"/>
      <c r="CG40" s="78"/>
    </row>
    <row r="41" spans="1:85">
      <c r="A41" s="79"/>
      <c r="B41" s="80" t="s">
        <v>83</v>
      </c>
      <c r="C41" s="81">
        <f>AVERAGE(C6:C37)</f>
        <v>79.817096774193544</v>
      </c>
      <c r="D41" s="82">
        <f>AVERAGE(D6:D37)</f>
        <v>0.56710967741935503</v>
      </c>
      <c r="E41" s="81">
        <f>AVERAGE(E6:E37)</f>
        <v>64.216451612903242</v>
      </c>
      <c r="F41" s="81">
        <f>AVERAGE(F6:F37)</f>
        <v>91.670967741935485</v>
      </c>
      <c r="G41" s="81">
        <f>AVERAGE(G6:G37)</f>
        <v>69.572903225806456</v>
      </c>
      <c r="H41" s="81">
        <f>SUM(H6:H36)+(INT(SUM(I6:I36)/60))</f>
        <v>585</v>
      </c>
      <c r="I41" s="81">
        <f>SUM(I6:I36)-(INT(SUM(I6:I36)/60)*60)</f>
        <v>50</v>
      </c>
      <c r="J41" s="81">
        <f>SUM(J6:J36)+(INT(SUM(K6:K36)/60))</f>
        <v>671</v>
      </c>
      <c r="K41" s="81">
        <f t="shared" ref="K41:Q41" si="17">SUM(K6:K36)-(INT(SUM(K6:K36)/60)*60)</f>
        <v>17</v>
      </c>
      <c r="L41" s="81">
        <f t="shared" si="17"/>
        <v>15</v>
      </c>
      <c r="M41" s="81">
        <f t="shared" si="17"/>
        <v>21</v>
      </c>
      <c r="N41" s="81">
        <f t="shared" si="17"/>
        <v>53</v>
      </c>
      <c r="O41" s="81">
        <f t="shared" si="17"/>
        <v>55</v>
      </c>
      <c r="P41" s="81">
        <f t="shared" si="17"/>
        <v>3</v>
      </c>
      <c r="Q41" s="81">
        <f t="shared" si="17"/>
        <v>47</v>
      </c>
      <c r="R41" s="83">
        <f>SUM(R6:R37)</f>
        <v>111517</v>
      </c>
      <c r="S41" s="83">
        <f>SUM(S6:S37)</f>
        <v>107208</v>
      </c>
      <c r="T41" s="83">
        <f>SUM(T6:T37)</f>
        <v>91550</v>
      </c>
      <c r="U41" s="196">
        <v>89954.15</v>
      </c>
      <c r="V41" s="84">
        <f>SUM(V6:V36)</f>
        <v>92685</v>
      </c>
      <c r="W41" s="85">
        <f t="shared" ref="W41:AB41" si="18">AVERAGE(W6:W36)</f>
        <v>42.935483870967744</v>
      </c>
      <c r="X41" s="85">
        <f t="shared" si="18"/>
        <v>2.225806451612903</v>
      </c>
      <c r="Y41" s="85">
        <f t="shared" si="18"/>
        <v>45.70967741935484</v>
      </c>
      <c r="Z41" s="85">
        <f t="shared" si="18"/>
        <v>1.1290322580645162</v>
      </c>
      <c r="AA41" s="85">
        <f t="shared" si="18"/>
        <v>58.903225806451616</v>
      </c>
      <c r="AB41" s="85">
        <f t="shared" si="18"/>
        <v>1.7419354838709677</v>
      </c>
      <c r="AC41" s="86">
        <f>V41-U41+AZ41</f>
        <v>2737.8500000000058</v>
      </c>
      <c r="AD41" s="87">
        <f>(SUM($AD$6:$AD$36))</f>
        <v>-1786</v>
      </c>
      <c r="AE41" s="87">
        <f>AVERAGE(AE6:AE36)</f>
        <v>144.06451612903226</v>
      </c>
      <c r="AF41" s="88">
        <f>AVERAGE(AF6:AF36)</f>
        <v>0.86130374520020125</v>
      </c>
      <c r="AG41" s="90">
        <f>AVERAGE(AG6:AG36)</f>
        <v>149.88844086021507</v>
      </c>
      <c r="AH41" s="88">
        <f>U41/R41</f>
        <v>0.80664069155375406</v>
      </c>
      <c r="AI41" s="88">
        <f>AVERAGE(AI6:AI36)</f>
        <v>0.99882475162974182</v>
      </c>
      <c r="AJ41" s="88">
        <f>AVERAGE(AJ6:AJ36)</f>
        <v>0.95845858981031151</v>
      </c>
      <c r="AK41" s="89">
        <f>SUM(AK6:AK36)</f>
        <v>230.27800000000002</v>
      </c>
      <c r="AL41" s="89">
        <f>AVERAGE(AL6:AL36)</f>
        <v>160.28677419354841</v>
      </c>
      <c r="AM41" s="89">
        <f>SUM(AM6:AM36)</f>
        <v>38064.313440000005</v>
      </c>
      <c r="AN41" s="89">
        <f>SUM(AN6:AN36)</f>
        <v>748.96261066000011</v>
      </c>
      <c r="AO41" s="87">
        <f>AVERAGE(AO6:AO36)</f>
        <v>964.20365569525802</v>
      </c>
      <c r="AP41" s="90">
        <f>SUM(AP6:AP36)</f>
        <v>745255.0948091771</v>
      </c>
      <c r="AQ41" s="91">
        <f>((AM41+AP41))/(U41*1000)*1000000</f>
        <v>8707.9852152366202</v>
      </c>
      <c r="AR41" s="92"/>
      <c r="AS41" s="13"/>
      <c r="AT41" s="93">
        <f t="shared" ref="AT41:AZ41" si="19">SUM(AT12:AT40)</f>
        <v>230</v>
      </c>
      <c r="AU41" s="93">
        <f t="shared" si="19"/>
        <v>896</v>
      </c>
      <c r="AV41" s="93">
        <f t="shared" si="19"/>
        <v>71</v>
      </c>
      <c r="AW41" s="93">
        <f t="shared" si="19"/>
        <v>853</v>
      </c>
      <c r="AX41" s="93">
        <f t="shared" si="19"/>
        <v>331</v>
      </c>
      <c r="AY41" s="93">
        <f>SUM(AY12:AY40)</f>
        <v>8452</v>
      </c>
      <c r="AZ41" s="93">
        <f t="shared" si="19"/>
        <v>7</v>
      </c>
      <c r="BA41" s="4"/>
      <c r="BB41" s="94">
        <f>SUM(BB12:BB40)</f>
        <v>21397</v>
      </c>
      <c r="BC41" s="94">
        <f>SUM(BC12:BC40)</f>
        <v>26659</v>
      </c>
      <c r="BD41" s="94">
        <f>SUM(BD12:BD40)</f>
        <v>30338</v>
      </c>
      <c r="BE41" s="6">
        <f>(BC41-BB41)</f>
        <v>5262</v>
      </c>
      <c r="BF41" s="95">
        <f t="shared" si="9"/>
        <v>8707.9852152366202</v>
      </c>
      <c r="BG41" s="95">
        <f t="shared" ref="BG41:BM41" si="20">SUM(BG12:BG40)</f>
        <v>1264.0833333333333</v>
      </c>
      <c r="BH41" s="95">
        <f t="shared" si="20"/>
        <v>35.03</v>
      </c>
      <c r="BI41" s="95">
        <f t="shared" si="20"/>
        <v>39.847999999999999</v>
      </c>
      <c r="BJ41" s="95">
        <f t="shared" si="20"/>
        <v>717.54000000000008</v>
      </c>
      <c r="BK41" s="95">
        <f t="shared" si="20"/>
        <v>563.15</v>
      </c>
      <c r="BL41" s="95">
        <f t="shared" si="20"/>
        <v>536.03</v>
      </c>
      <c r="BM41" s="95">
        <f t="shared" si="20"/>
        <v>668.44999999999993</v>
      </c>
      <c r="BN41" s="96">
        <f>AVERAGE(BN12:BN40)</f>
        <v>1000.3464000000001</v>
      </c>
      <c r="BO41" s="96">
        <f>AVERAGE(BO12:BO40)</f>
        <v>50.088000000000001</v>
      </c>
      <c r="BP41" s="96">
        <f>AVERAGE(BP12:BP40)</f>
        <v>0.92116799999999988</v>
      </c>
      <c r="BQ41" s="96">
        <f>AVERAGE(BQ12:BQ40)</f>
        <v>95.409199999999984</v>
      </c>
      <c r="BR41" s="96">
        <f>AVERAGE(BR12:BR40)</f>
        <v>86.877199999999988</v>
      </c>
      <c r="BS41" s="4"/>
      <c r="BT41" s="95">
        <f>AVERAGE(BT12:BT24)</f>
        <v>11773.5</v>
      </c>
      <c r="BU41" s="95">
        <f>AVERAGE(BU12:BU24)</f>
        <v>11231.75</v>
      </c>
      <c r="BV41" s="6"/>
      <c r="BW41" s="97">
        <f>(SUM(BW6:BW40))</f>
        <v>88.525999999999996</v>
      </c>
      <c r="BX41" s="97">
        <f>(SUM(BX12:BX40))</f>
        <v>466.37003333333325</v>
      </c>
      <c r="BY41" s="97">
        <f>(SUM(BY12:BY40))</f>
        <v>540.08299999999997</v>
      </c>
      <c r="CA41" s="97">
        <f>(SUM(CA6:CA36))</f>
        <v>554.37</v>
      </c>
      <c r="CB41" s="97">
        <f>(SUM(CB12:CB36))</f>
        <v>168.70999999999998</v>
      </c>
      <c r="CD41" s="97"/>
      <c r="CE41" s="97"/>
      <c r="CF41" s="97"/>
      <c r="CG41" s="97"/>
    </row>
    <row r="42" spans="1:85" ht="15.75" thickBot="1">
      <c r="A42" s="98"/>
      <c r="B42" s="99" t="s">
        <v>84</v>
      </c>
      <c r="C42" s="100" t="s">
        <v>85</v>
      </c>
      <c r="D42" s="101" t="s">
        <v>86</v>
      </c>
      <c r="E42" s="101"/>
      <c r="F42" s="102" t="s">
        <v>87</v>
      </c>
      <c r="G42" s="102" t="s">
        <v>88</v>
      </c>
      <c r="H42" s="102" t="s">
        <v>75</v>
      </c>
      <c r="I42" s="102" t="s">
        <v>76</v>
      </c>
      <c r="J42" s="102" t="s">
        <v>75</v>
      </c>
      <c r="K42" s="102" t="s">
        <v>76</v>
      </c>
      <c r="L42" s="102" t="s">
        <v>75</v>
      </c>
      <c r="M42" s="102" t="s">
        <v>76</v>
      </c>
      <c r="N42" s="102" t="s">
        <v>75</v>
      </c>
      <c r="O42" s="102" t="s">
        <v>76</v>
      </c>
      <c r="P42" s="103" t="s">
        <v>89</v>
      </c>
      <c r="Q42" s="103" t="s">
        <v>90</v>
      </c>
      <c r="R42" s="103" t="s">
        <v>91</v>
      </c>
      <c r="S42" s="103" t="s">
        <v>91</v>
      </c>
      <c r="T42" s="103" t="s">
        <v>91</v>
      </c>
      <c r="U42" s="103" t="s">
        <v>91</v>
      </c>
      <c r="V42" s="103" t="s">
        <v>91</v>
      </c>
      <c r="W42" s="103" t="s">
        <v>92</v>
      </c>
      <c r="X42" s="103" t="s">
        <v>93</v>
      </c>
      <c r="Y42" s="103" t="s">
        <v>94</v>
      </c>
      <c r="Z42" s="103" t="s">
        <v>93</v>
      </c>
      <c r="AA42" s="103" t="s">
        <v>94</v>
      </c>
      <c r="AB42" s="103" t="s">
        <v>93</v>
      </c>
      <c r="AC42" s="103" t="s">
        <v>95</v>
      </c>
      <c r="AD42" s="103" t="s">
        <v>96</v>
      </c>
      <c r="AE42" s="103" t="s">
        <v>97</v>
      </c>
      <c r="AF42" s="103" t="s">
        <v>98</v>
      </c>
      <c r="AG42" s="103" t="s">
        <v>99</v>
      </c>
      <c r="AH42" s="103" t="s">
        <v>99</v>
      </c>
      <c r="AI42" s="103"/>
      <c r="AJ42" s="103" t="s">
        <v>99</v>
      </c>
      <c r="AK42" s="103" t="s">
        <v>100</v>
      </c>
      <c r="AL42" s="103" t="s">
        <v>99</v>
      </c>
      <c r="AM42" s="103"/>
      <c r="AN42" s="103" t="s">
        <v>100</v>
      </c>
      <c r="AO42" s="103" t="s">
        <v>99</v>
      </c>
      <c r="AP42" s="104"/>
      <c r="AQ42" s="105" t="s">
        <v>99</v>
      </c>
      <c r="AR42" s="106"/>
      <c r="AS42" s="107"/>
      <c r="AZ42" s="108" t="s">
        <v>100</v>
      </c>
      <c r="BA42" s="4"/>
      <c r="BF42" s="109" t="str">
        <f t="shared" si="9"/>
        <v>Avg.</v>
      </c>
      <c r="BS42" s="4"/>
      <c r="BT42" s="5"/>
      <c r="BU42" s="5"/>
      <c r="BV42" s="6"/>
    </row>
    <row r="43" spans="1:85" ht="15.75" thickBot="1">
      <c r="B43" s="110"/>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c r="AK43" s="110"/>
      <c r="AL43" s="110"/>
      <c r="AM43" s="111"/>
      <c r="AQ43" s="112"/>
      <c r="AR43" s="112"/>
      <c r="AS43" s="4"/>
      <c r="BA43" s="113"/>
      <c r="BB43" s="114"/>
      <c r="BC43" s="114"/>
      <c r="BD43" s="114"/>
      <c r="BE43" s="6"/>
      <c r="BS43" s="4"/>
      <c r="BT43" s="5"/>
      <c r="BU43" s="5"/>
      <c r="BV43" s="6"/>
    </row>
    <row r="44" spans="1:85" ht="59.25" customHeight="1" thickBot="1">
      <c r="B44" s="115" t="s">
        <v>101</v>
      </c>
      <c r="C44" s="116" t="s">
        <v>102</v>
      </c>
      <c r="D44" s="116" t="s">
        <v>103</v>
      </c>
      <c r="E44" s="377" t="s">
        <v>130</v>
      </c>
      <c r="F44" s="428" t="s">
        <v>104</v>
      </c>
      <c r="G44" s="429"/>
      <c r="H44" s="428" t="s">
        <v>105</v>
      </c>
      <c r="I44" s="429"/>
      <c r="J44" s="428" t="s">
        <v>106</v>
      </c>
      <c r="K44" s="429"/>
      <c r="L44" s="428" t="s">
        <v>107</v>
      </c>
      <c r="M44" s="429"/>
      <c r="N44" s="428" t="s">
        <v>108</v>
      </c>
      <c r="O44" s="429"/>
      <c r="P44" s="428" t="s">
        <v>109</v>
      </c>
      <c r="Q44" s="429"/>
      <c r="R44" s="117" t="s">
        <v>110</v>
      </c>
      <c r="S44" s="118" t="s">
        <v>111</v>
      </c>
      <c r="T44" s="119" t="s">
        <v>112</v>
      </c>
      <c r="U44" s="116" t="s">
        <v>11</v>
      </c>
      <c r="V44" s="119" t="s">
        <v>12</v>
      </c>
      <c r="W44" s="116" t="s">
        <v>113</v>
      </c>
      <c r="X44" s="116" t="s">
        <v>14</v>
      </c>
      <c r="Y44" s="116" t="s">
        <v>114</v>
      </c>
      <c r="Z44" s="116" t="s">
        <v>16</v>
      </c>
      <c r="AA44" s="116" t="s">
        <v>18</v>
      </c>
      <c r="AB44" s="116" t="s">
        <v>17</v>
      </c>
      <c r="AC44" s="118" t="s">
        <v>19</v>
      </c>
      <c r="AD44" s="120" t="s">
        <v>20</v>
      </c>
      <c r="AE44" s="121" t="s">
        <v>21</v>
      </c>
      <c r="AF44" s="121" t="s">
        <v>22</v>
      </c>
      <c r="AG44" s="121" t="s">
        <v>115</v>
      </c>
      <c r="AH44" s="122" t="s">
        <v>116</v>
      </c>
      <c r="AI44" s="122" t="s">
        <v>25</v>
      </c>
      <c r="AJ44" s="123" t="s">
        <v>26</v>
      </c>
      <c r="AK44" s="119" t="s">
        <v>117</v>
      </c>
      <c r="AL44" s="124" t="s">
        <v>28</v>
      </c>
      <c r="AM44" s="124" t="s">
        <v>29</v>
      </c>
      <c r="AN44" s="119" t="s">
        <v>118</v>
      </c>
      <c r="AO44" s="124" t="s">
        <v>119</v>
      </c>
      <c r="AP44" s="124" t="s">
        <v>32</v>
      </c>
      <c r="AQ44" s="123" t="s">
        <v>120</v>
      </c>
      <c r="AR44" s="125"/>
      <c r="AS44" s="125"/>
      <c r="BA44" s="113"/>
      <c r="BB44" s="114"/>
      <c r="BC44" s="114"/>
      <c r="BD44" s="114"/>
      <c r="BE44" s="126">
        <f>AVERAGE(BE28:BE31)</f>
        <v>59.75</v>
      </c>
      <c r="BS44" s="4"/>
      <c r="BT44" s="5"/>
      <c r="BU44" s="5"/>
      <c r="BV44" s="6"/>
    </row>
    <row r="45" spans="1:85">
      <c r="B45" s="127" t="s">
        <v>297</v>
      </c>
      <c r="C45" s="128">
        <f>IF(C6=0,"no data",AVERAGE(C6:C12))</f>
        <v>83.762857142857143</v>
      </c>
      <c r="D45" s="129">
        <f>IF(D6=0,"no data",AVERAGE(D6:D12))</f>
        <v>0.57925714285714291</v>
      </c>
      <c r="E45" s="132">
        <f>IF(E6=0,"no data",AVERAGE(E6:E12))</f>
        <v>67.98571428571428</v>
      </c>
      <c r="F45" s="128">
        <f>IF(F6=0,"no data",AVERAGE(F6:F12))</f>
        <v>95.828571428571422</v>
      </c>
      <c r="G45" s="128">
        <f>IF(G6=0,"no data",AVERAGE(G6:G12))</f>
        <v>73.679999999999993</v>
      </c>
      <c r="H45" s="128">
        <f>SUM(H6:H12)+INT(SUM(I6:I12)/60)</f>
        <v>122</v>
      </c>
      <c r="I45" s="128">
        <f>SUM(I6:I12)-INT(SUM(I6:I12)/60)*60</f>
        <v>1</v>
      </c>
      <c r="J45" s="128">
        <f>SUM(J6:J12)+INT(SUM(K6:K12)/60)</f>
        <v>124</v>
      </c>
      <c r="K45" s="128">
        <f>SUM(K6:K12)-INT(SUM(K6:K12)/60)*60</f>
        <v>9</v>
      </c>
      <c r="L45" s="128">
        <f>SUM(L6:L12)+INT(SUM(M6:M12)/60)</f>
        <v>44</v>
      </c>
      <c r="M45" s="128">
        <f>SUM(M6:M12)-INT(SUM(M6:M12)/60)*60</f>
        <v>58</v>
      </c>
      <c r="N45" s="128">
        <f>SUM(N6:N12)+INT(SUM(O6:O12)/60)</f>
        <v>40</v>
      </c>
      <c r="O45" s="128">
        <f>SUM(O6:O12)-INT(SUM(O6:O12)/60)*60</f>
        <v>51</v>
      </c>
      <c r="P45" s="128">
        <f>SUM(P6:P12)+INT(SUM(Q6:Q12)/60)</f>
        <v>74</v>
      </c>
      <c r="Q45" s="128">
        <f>SUM(Q6:Q12)-INT(SUM(Q6:Q12)/60)*60</f>
        <v>23</v>
      </c>
      <c r="R45" s="130">
        <f t="shared" ref="R45:W45" si="21">IF(R6=0,"no data", AVERAGE(R6:R12))</f>
        <v>3558.2857142857142</v>
      </c>
      <c r="S45" s="130">
        <f t="shared" si="21"/>
        <v>3395.7142857142858</v>
      </c>
      <c r="T45" s="130" t="str">
        <f t="shared" si="21"/>
        <v>no data</v>
      </c>
      <c r="U45" s="130" t="str">
        <f t="shared" si="21"/>
        <v>no data</v>
      </c>
      <c r="V45" s="130" t="str">
        <f t="shared" si="21"/>
        <v>no data</v>
      </c>
      <c r="W45" s="131">
        <f t="shared" si="21"/>
        <v>42</v>
      </c>
      <c r="X45" s="132" t="str">
        <f>IF(AND(X6=0,X7=0,X8=0,X9=0,X10=0,X11= 0,X12=0),"No outage",SUM(X6:X12))</f>
        <v>No outage</v>
      </c>
      <c r="Y45" s="132">
        <f>IF(Y6=0,"no data", AVERAGE(Y6:Y12))</f>
        <v>45</v>
      </c>
      <c r="Z45" s="132" t="str">
        <f>IF(AND(Z6=0,Z7=0,Z8=0,Z9=0,Z10=0,Z11= 0,Z12=0),"No outage",SUM(Z6:Z12))</f>
        <v>No outage</v>
      </c>
      <c r="AA45" s="132">
        <f>IF(AND(AA6=0,AA7=0,AA8=0,AA9=0,AA10=0, AA11=0,AA12=0),"No outage",SUM(AA6:AA12))</f>
        <v>412</v>
      </c>
      <c r="AB45" s="132" t="str">
        <f>IF(Z6=0,"no data", AVERAGE(AB6:AB12))</f>
        <v>no data</v>
      </c>
      <c r="AC45" s="128" t="str">
        <f>IF(Z6=0,"no data", SUM(AC6:AC12))</f>
        <v>no data</v>
      </c>
      <c r="AD45" s="128" t="str">
        <f>IF(AD6=0,"no data", SUM(AD6:AD12))</f>
        <v>no data</v>
      </c>
      <c r="AE45" s="131" t="str">
        <f t="shared" ref="AE45:AJ45" si="22">IF(AE6=0,"no data", AVERAGE(AE6:AE12))</f>
        <v>no data</v>
      </c>
      <c r="AF45" s="133">
        <f t="shared" si="22"/>
        <v>0.80977430536785955</v>
      </c>
      <c r="AG45" s="132">
        <f t="shared" si="22"/>
        <v>148.26190476190476</v>
      </c>
      <c r="AH45" s="133">
        <f t="shared" si="22"/>
        <v>0.78650734050671867</v>
      </c>
      <c r="AI45" s="133">
        <f t="shared" si="22"/>
        <v>1</v>
      </c>
      <c r="AJ45" s="133">
        <f t="shared" si="22"/>
        <v>0.96525210467328681</v>
      </c>
      <c r="AK45" s="132" t="str">
        <f>IF(AK6=0,"no data", SUM(AK6:AK12))</f>
        <v>no data</v>
      </c>
      <c r="AL45" s="132" t="str">
        <f>IF(AL6=0,"no data", AVERAGE(AL6:AL12))</f>
        <v>no data</v>
      </c>
      <c r="AM45" s="132" t="e">
        <f>AK45*AL45</f>
        <v>#VALUE!</v>
      </c>
      <c r="AN45" s="132" t="str">
        <f>IF(AN6=0,"no data", SUM(AN6:AN12))</f>
        <v>no data</v>
      </c>
      <c r="AO45" s="132" t="str">
        <f>IF(AO6=0,"no data", AVERAGE(AO6:AO12))</f>
        <v>no data</v>
      </c>
      <c r="AP45" s="132" t="e">
        <f>AN45*AO45</f>
        <v>#VALUE!</v>
      </c>
      <c r="AQ45" s="134">
        <f>IF(AQ6=0,"no data", AVERAGE(AQ6:AQ12))</f>
        <v>8767.2563519631658</v>
      </c>
      <c r="AR45" s="135"/>
      <c r="AS45" s="136"/>
      <c r="BA45" s="113"/>
      <c r="BB45" s="114"/>
      <c r="BC45" s="114"/>
      <c r="BD45" s="114"/>
      <c r="BS45" s="4"/>
      <c r="BT45" s="5">
        <v>7</v>
      </c>
      <c r="BU45" s="5">
        <v>56</v>
      </c>
      <c r="BV45" s="6">
        <f>BT45+(BU45/60)</f>
        <v>7.9333333333333336</v>
      </c>
      <c r="BW45">
        <f>BV46-BV45</f>
        <v>13.666666666666668</v>
      </c>
    </row>
    <row r="46" spans="1:85">
      <c r="B46" s="127" t="s">
        <v>298</v>
      </c>
      <c r="C46" s="137">
        <f>IF(C13=0,"no data", AVERAGE(C13:C19))</f>
        <v>79.51428571428572</v>
      </c>
      <c r="D46" s="138">
        <f>IF(D13=0,"no data", AVERAGE(D13:D19))</f>
        <v>0.58814285714285719</v>
      </c>
      <c r="E46" s="140">
        <f>IF(E13=0,"no data", AVERAGE(E13:E19))</f>
        <v>65.071428571428569</v>
      </c>
      <c r="F46" s="137">
        <f>IF(F13=0,"no data", AVERAGE(F13:F19))</f>
        <v>90.857142857142861</v>
      </c>
      <c r="G46" s="137">
        <f>IF(G13=0,"no data", AVERAGE(G13:G19))</f>
        <v>70.142857142857139</v>
      </c>
      <c r="H46" s="137">
        <f>SUM(H13:H19)+INT(SUM(I13:I19)/60)</f>
        <v>89</v>
      </c>
      <c r="I46" s="137">
        <f>SUM(I13:I19)-INT(SUM(J13:J19)/60)</f>
        <v>243</v>
      </c>
      <c r="J46" s="137">
        <f>SUM(J13:J19)+INT(SUM(K13:K19)/60)</f>
        <v>140</v>
      </c>
      <c r="K46" s="137">
        <f>SUM(K13:K19)-INT(SUM(L13:L19)/60)*60</f>
        <v>32</v>
      </c>
      <c r="L46" s="137">
        <f>SUM(L13:L19)+INT(SUM(M13:M19)/60)</f>
        <v>67</v>
      </c>
      <c r="M46" s="137">
        <f>SUM(M13:M19)-INT(SUM(N13:N19)/60)*60</f>
        <v>203</v>
      </c>
      <c r="N46" s="137">
        <f>SUM(N13:N19)+INT(SUM(O13:O19)/60)</f>
        <v>14</v>
      </c>
      <c r="O46" s="137">
        <f>SUM(O13:O19)-INT(SUM(P13:P19)/60)*60</f>
        <v>64</v>
      </c>
      <c r="P46" s="137">
        <f>SUM(P13:P19)+INT(SUM(Q13:Q19)/60)</f>
        <v>42</v>
      </c>
      <c r="Q46" s="137">
        <f>SUM(Q7:Q13)-INT(SUM(Q13:Q19)/60)*60</f>
        <v>-5</v>
      </c>
      <c r="R46" s="139">
        <f>IF(R13=0,"no data", AVERAGE(R13:R19))</f>
        <v>3599.4285714285716</v>
      </c>
      <c r="S46" s="139">
        <f>IF(S13=0,"no data", AVERAGE(S13:S19))</f>
        <v>3359</v>
      </c>
      <c r="T46" s="139">
        <f>IF(T13=0,"no data", AVERAGE(T13:T19))</f>
        <v>2398.5714285714284</v>
      </c>
      <c r="U46" s="139">
        <f>IF(U13=0,"no data", SUM(U13:U19))</f>
        <v>16586</v>
      </c>
      <c r="V46" s="139">
        <f>IF(V13=0,"no data", SUM(V13:V19))</f>
        <v>17167</v>
      </c>
      <c r="W46" s="139">
        <f>IF(W13=0,"no data", AVERAGE(W13:W19))</f>
        <v>42.714285714285715</v>
      </c>
      <c r="X46" s="140" t="str">
        <f>IF(AND(X13=0,X14=0,X15=0,X16=0,X17=0,X18=0,X19=0),"No outage",SUM(X13:X19))</f>
        <v>No outage</v>
      </c>
      <c r="Y46" s="140">
        <f>IF(AND(Y13=0,Y14=0,Y15=0,Y16=0,Y17=0,Y18=0,Y19=0),"No outage",SUM(Y13:Y19))</f>
        <v>320</v>
      </c>
      <c r="Z46" s="139" t="str">
        <f>IF(Z13=0,"no data", AVERAGE(Z13:Z19))</f>
        <v>no data</v>
      </c>
      <c r="AA46" s="140">
        <f>IF(AND(AA13=0,AA14=0,AA15=0,AA16=0,AA17=0,AA18=0,AA19=0),"No outage",SUM(AA13:AA19))</f>
        <v>406</v>
      </c>
      <c r="AB46" s="139" t="str">
        <f>IF(AB13=0,"no data", AVERAGE(AB13:AB19))</f>
        <v>no data</v>
      </c>
      <c r="AC46" s="139">
        <f>IF(AC13=0,"no data", SUM(AC13:AC19))</f>
        <v>588</v>
      </c>
      <c r="AD46" s="139">
        <f>IF(AD13=0,"no data", SUM(AD13:AD19))</f>
        <v>-204</v>
      </c>
      <c r="AE46" s="139">
        <f t="shared" ref="AE46:AJ46" si="23">IF(AE13=0,"no data", AVERAGE(AE13:AE19))</f>
        <v>143.14285714285714</v>
      </c>
      <c r="AF46" s="141">
        <f t="shared" si="23"/>
        <v>0.70972481502653217</v>
      </c>
      <c r="AG46" s="139">
        <f t="shared" si="23"/>
        <v>149.97619047619051</v>
      </c>
      <c r="AH46" s="141">
        <f t="shared" si="23"/>
        <v>0.65866967599102388</v>
      </c>
      <c r="AI46" s="141">
        <f t="shared" si="23"/>
        <v>1</v>
      </c>
      <c r="AJ46" s="141">
        <f t="shared" si="23"/>
        <v>0.90070636875439836</v>
      </c>
      <c r="AK46" s="142">
        <f>IF(AK13=0,"no data",SUM(AK13:AK19))</f>
        <v>52.928000000000004</v>
      </c>
      <c r="AL46" s="143">
        <f>IF(AL13=0,"no data", AVERAGE(AL13:AL19))</f>
        <v>168.72714285714287</v>
      </c>
      <c r="AM46" s="140">
        <f>AK46*AL46</f>
        <v>8930.3902171428581</v>
      </c>
      <c r="AN46" s="140">
        <f>IF(AN13=0,"no data", SUM(AN13:AN19))</f>
        <v>134.47999999999999</v>
      </c>
      <c r="AO46" s="142">
        <f>IF(AO13=0,"no data",AVERAGE(AO13:AO19))</f>
        <v>1011.15</v>
      </c>
      <c r="AP46" s="140">
        <f>AN46*AO46</f>
        <v>135979.45199999999</v>
      </c>
      <c r="AQ46" s="144">
        <f>IF(AQ13=0,"no data", AVERAGE(AQ13:AQ19))</f>
        <v>8790.1303122425034</v>
      </c>
      <c r="AR46" s="135"/>
      <c r="AS46" s="136"/>
      <c r="AX46">
        <f>3413/12465</f>
        <v>0.27380665864420378</v>
      </c>
      <c r="BA46" s="113"/>
      <c r="BC46" s="114"/>
      <c r="BS46" s="4"/>
      <c r="BT46" s="5">
        <v>21</v>
      </c>
      <c r="BU46" s="5">
        <v>36</v>
      </c>
      <c r="BV46" s="6">
        <f>BT46+(BU46/60)</f>
        <v>21.6</v>
      </c>
    </row>
    <row r="47" spans="1:85">
      <c r="A47" s="145"/>
      <c r="B47" s="127" t="s">
        <v>299</v>
      </c>
      <c r="C47" s="140">
        <f>IF(C20=0,"no data", AVERAGE(C20:C26))</f>
        <v>79.314285714285717</v>
      </c>
      <c r="D47" s="138">
        <f>IF(D20=0,"no data", AVERAGE(D20:D26))</f>
        <v>0.55354285714285711</v>
      </c>
      <c r="E47" s="140">
        <f>IF(E20=0,"no data", AVERAGE(E20:E26))</f>
        <v>63.262857142857136</v>
      </c>
      <c r="F47" s="140">
        <f>IF(F20=0,"no data", AVERAGE(F20:F26))</f>
        <v>90.428571428571431</v>
      </c>
      <c r="G47" s="140">
        <f>IF(G20=0,"no data", AVERAGE(G20:G26))</f>
        <v>68.857142857142861</v>
      </c>
      <c r="H47" s="137">
        <f>SUM(H20:H26)+INT(SUM(I20:I26)/60)</f>
        <v>158</v>
      </c>
      <c r="I47" s="137">
        <f>SUM(I20:I26)-INT(SUM(I26:I26)/60)*60</f>
        <v>10</v>
      </c>
      <c r="J47" s="137">
        <f>SUM(J20:J26)+INT(SUM(K20:K26)/60)</f>
        <v>168</v>
      </c>
      <c r="K47" s="137">
        <f>SUM(K20:K26)-INT(SUM(K20:K26)/60)*60</f>
        <v>0</v>
      </c>
      <c r="L47" s="137">
        <f>SUM(L20:L26)+INT(SUM(M20:M26)/60)</f>
        <v>9</v>
      </c>
      <c r="M47" s="137">
        <f>SUM(M20:M26)-INT(SUM(M20:M26)/60)*60</f>
        <v>15</v>
      </c>
      <c r="N47" s="137">
        <f>SUM(N20:N26)+INT(SUM(O20:O26)/60)</f>
        <v>0</v>
      </c>
      <c r="O47" s="137">
        <f>SUM(O20:O26)-INT(SUM(O20:O26)/60)*60</f>
        <v>0</v>
      </c>
      <c r="P47" s="137">
        <f>SUM(P20:P26)+INT(SUM(Q20:Q26)/60)</f>
        <v>157</v>
      </c>
      <c r="Q47" s="137">
        <f>SUM(Q20:Q26)-INT(SUM(Q20:Q26)/60)*60</f>
        <v>46</v>
      </c>
      <c r="R47" s="139">
        <f>IF(R20=0,"no data", AVERAGE(R20:R26))</f>
        <v>3601.8571428571427</v>
      </c>
      <c r="S47" s="139">
        <f>IF(S20=0,"no data", AVERAGE(S20:S26))</f>
        <v>3508.8571428571427</v>
      </c>
      <c r="T47" s="139">
        <f>IF(T20=0,"no data", AVERAGE(T20:T26))</f>
        <v>3415.8571428571427</v>
      </c>
      <c r="U47" s="146">
        <f>IF(U20=0,"no data", SUM(U20:U26))</f>
        <v>23293</v>
      </c>
      <c r="V47" s="146">
        <f>IF(V20=0,"no data", SUM(V20:V26))</f>
        <v>24026</v>
      </c>
      <c r="W47" s="146">
        <f>IF(W20=0,"no data", AVERAGE(W20:W26))</f>
        <v>43.285714285714285</v>
      </c>
      <c r="X47" s="140" t="str">
        <f>IF(AND(X20=0,X21=0,X22=0,X23=0,X24=0,X25=0,X26=0),"No outage",SUM(X20:X26))</f>
        <v>No outage</v>
      </c>
      <c r="Y47" s="140">
        <f>IF(AND(Y20=0,Y21=0,Y22=0,Y23=0,Y24=0,Y25=0,Y26=0),"No outage",SUM(Y20:Y26))</f>
        <v>322</v>
      </c>
      <c r="Z47" s="146" t="str">
        <f>IF(Z20=0,"no data", AVERAGE(Z20:Z26))</f>
        <v>no data</v>
      </c>
      <c r="AA47" s="140">
        <f>IF(AND(AA20=0,AA21=0,AA22=0,AA23=0,AA24=0,AA25=0,AA26=0),"No outage",SUM(AA20:AA26))</f>
        <v>409</v>
      </c>
      <c r="AB47" s="140" t="str">
        <f>IF(AB20=0,"no data", AVERAGE(AB20:AB26))</f>
        <v>no data</v>
      </c>
      <c r="AC47" s="140">
        <f>IF(AC20=0,"no data", SUM(AC20:AC26))</f>
        <v>733</v>
      </c>
      <c r="AD47" s="146">
        <f>IF(AD20=0,"no data", SUM(AD20:AD26))</f>
        <v>-618</v>
      </c>
      <c r="AE47" s="140">
        <f t="shared" ref="AE47:AJ47" si="24">IF(AE20=0,"no data", AVERAGE(AE20:AE26))</f>
        <v>150.14285714285714</v>
      </c>
      <c r="AF47" s="141">
        <f t="shared" si="24"/>
        <v>0.9521361945472242</v>
      </c>
      <c r="AG47" s="140">
        <f t="shared" si="24"/>
        <v>150.07738095238093</v>
      </c>
      <c r="AH47" s="141">
        <f t="shared" si="24"/>
        <v>0.92381882370667634</v>
      </c>
      <c r="AI47" s="141">
        <f t="shared" si="24"/>
        <v>1</v>
      </c>
      <c r="AJ47" s="141">
        <f t="shared" si="24"/>
        <v>0.98614957887917065</v>
      </c>
      <c r="AK47" s="140">
        <f>IF(AK20=0,"no data", SUM(AK20:AK26))</f>
        <v>56.161999999999999</v>
      </c>
      <c r="AL47" s="140">
        <f>IF(AL20=0,"no data", AVERAGE(AL20:AL26))</f>
        <v>166.6142857142857</v>
      </c>
      <c r="AM47" s="140">
        <f>AK47*AL47</f>
        <v>9357.3915142857131</v>
      </c>
      <c r="AN47" s="140">
        <f>IF(AN20=0,"no data", SUM(AN20:AN25))</f>
        <v>165.13096092000001</v>
      </c>
      <c r="AO47" s="140">
        <f>IF(AO20=0,"no data", AVERAGE(AO20:AO25))</f>
        <v>997.75576723921131</v>
      </c>
      <c r="AP47" s="140">
        <f>AN47*AO47</f>
        <v>164760.36860768282</v>
      </c>
      <c r="AQ47" s="144">
        <f>IF(AQ20=0,"no data", AVERAGE(AQ20:AQ26))</f>
        <v>8708.1540106521115</v>
      </c>
      <c r="AR47" s="135"/>
      <c r="AS47" s="136"/>
      <c r="AT47" s="145"/>
      <c r="AU47" s="145"/>
      <c r="AV47" s="145"/>
      <c r="AW47" s="145"/>
      <c r="AX47" s="145">
        <f>3413/12796</f>
        <v>0.26672397624257582</v>
      </c>
      <c r="AY47" s="145"/>
      <c r="AZ47" s="145"/>
      <c r="BA47" s="113"/>
      <c r="BB47" s="145"/>
      <c r="BC47" s="114"/>
      <c r="BD47" s="145"/>
      <c r="BE47" s="145"/>
      <c r="BF47" s="145"/>
      <c r="BG47" s="145"/>
      <c r="BS47" s="4"/>
      <c r="BT47" s="5"/>
      <c r="BU47" s="5"/>
      <c r="BV47" s="6"/>
    </row>
    <row r="48" spans="1:85">
      <c r="B48" s="127" t="s">
        <v>300</v>
      </c>
      <c r="C48" s="140">
        <f>IF(C21=0,"no data", AVERAGE(C27:C33))</f>
        <v>77.5</v>
      </c>
      <c r="D48" s="138">
        <f>IF(D21=0,"no data", AVERAGE(D27:D33))</f>
        <v>0.54185714285714282</v>
      </c>
      <c r="E48" s="140">
        <f>IF(E21=0,"no data", AVERAGE(E27:E33))</f>
        <v>61.071428571428569</v>
      </c>
      <c r="F48" s="140">
        <f>IF(F21=0,"no data", AVERAGE(F27:F33))</f>
        <v>89.714285714285708</v>
      </c>
      <c r="G48" s="140">
        <f>IF(G21=0,"no data", AVERAGE(G27:G33))</f>
        <v>66.285714285714292</v>
      </c>
      <c r="H48" s="137">
        <f>SUM(H27:H33)+INT(SUM(I27:I33)/60)</f>
        <v>168</v>
      </c>
      <c r="I48" s="137">
        <f>SUM(I27:I33)-INT(SUM(I27:I33)/60)*60</f>
        <v>0</v>
      </c>
      <c r="J48" s="137">
        <f>SUM(J27:J33)+INT(SUM(K27:K33)/60)</f>
        <v>168</v>
      </c>
      <c r="K48" s="137">
        <f>SUM(K27:K33)-INT(SUM(K27:K33)/60)*60</f>
        <v>0</v>
      </c>
      <c r="L48" s="137">
        <f>SUM(L27:L33)+INT(SUM(M27:M33)/60)</f>
        <v>0</v>
      </c>
      <c r="M48" s="137">
        <f>SUM(M27:M33)-INT(SUM(M27:M33)/60)*60</f>
        <v>0</v>
      </c>
      <c r="N48" s="137">
        <f>SUM(N27:N33)+INT(SUM(O27:O33)/60)</f>
        <v>0</v>
      </c>
      <c r="O48" s="137">
        <f>SUM(O27:O33)-INT(SUM(O27:O33)/60)*60</f>
        <v>0</v>
      </c>
      <c r="P48" s="137">
        <f>SUM(P27:P33)+INT(SUM(Q27:Q33)/60)</f>
        <v>168</v>
      </c>
      <c r="Q48" s="137">
        <f>SUM(Q27:Q33)-INT(SUM(Q27:Q33)/60)*60</f>
        <v>0</v>
      </c>
      <c r="R48" s="139">
        <f>IF(R27=0,"no data", AVERAGE(R27:R33))</f>
        <v>3621.5714285714284</v>
      </c>
      <c r="S48" s="139">
        <f>IF(S27=0,"no data", AVERAGE(S27:S33))</f>
        <v>3560.2857142857142</v>
      </c>
      <c r="T48" s="139">
        <f>IF(T27=0,"no data", AVERAGE(T27:T33))</f>
        <v>3560.2857142857142</v>
      </c>
      <c r="U48" s="139">
        <f>IF(U27=0,"no data", SUM(U27:U33))</f>
        <v>24428</v>
      </c>
      <c r="V48" s="139">
        <f>IF(V27=0,"no data", SUM(V27:V33))</f>
        <v>25194</v>
      </c>
      <c r="W48" s="146">
        <f>IF(W27=0,"no data", AVERAGE(W27:W33))</f>
        <v>43.714285714285715</v>
      </c>
      <c r="X48" s="140" t="str">
        <f>IF(AND(X27=0,X28=0,X29=0,X30=0,X31=0,X32=0,X33=0),"No outage",SUM(X27:X33))</f>
        <v>No outage</v>
      </c>
      <c r="Y48" s="140">
        <f>IF(AND(Y27=0,Y28=0,Y29=0,Y30=0,Y31=0,Y32=0,Y33=0),"No outage",SUM(Y27:Y33))</f>
        <v>322</v>
      </c>
      <c r="Z48" s="146" t="str">
        <f>IF(Z27=0,"no data", AVERAGE(Z27:Z33))</f>
        <v>no data</v>
      </c>
      <c r="AA48" s="140">
        <f>IF(AND(AA27=0,AA28=0,AA29=0,AA30=0,AA31=0,AA32=0,AA33=0),"No outage",SUM(AA27:AA33))</f>
        <v>419</v>
      </c>
      <c r="AB48" s="140" t="str">
        <f>IF(AB27=0,"no data", AVERAGE(AB27:AB33))</f>
        <v>no data</v>
      </c>
      <c r="AC48" s="139">
        <f>IF(AC27=0,"no data", SUM(AC27:AC33))</f>
        <v>766</v>
      </c>
      <c r="AD48" s="139">
        <f>IF(AD27=0,"no data", SUM(AD27:AD33))</f>
        <v>-494</v>
      </c>
      <c r="AE48" s="146">
        <f t="shared" ref="AE48:AJ48" si="25">IF(AE27=0,"no data", AVERAGE(AE27:AE33))</f>
        <v>152.85714285714286</v>
      </c>
      <c r="AF48" s="138">
        <f t="shared" si="25"/>
        <v>0.98108523380112278</v>
      </c>
      <c r="AG48" s="140">
        <f t="shared" si="25"/>
        <v>150.89880952380955</v>
      </c>
      <c r="AH48" s="138">
        <f t="shared" si="25"/>
        <v>0.96359200865544514</v>
      </c>
      <c r="AI48" s="138">
        <f t="shared" si="25"/>
        <v>1</v>
      </c>
      <c r="AJ48" s="138">
        <f t="shared" si="25"/>
        <v>1</v>
      </c>
      <c r="AK48" s="139">
        <f>IF(AK27=0,"no data", SUM(AK27:AK33))</f>
        <v>54.134</v>
      </c>
      <c r="AL48" s="140">
        <f>IF(AL27=0,"no data", AVERAGE(AL27:AL33))</f>
        <v>164.11285714285717</v>
      </c>
      <c r="AM48" s="140">
        <f>AK48*AL48</f>
        <v>8884.0854085714291</v>
      </c>
      <c r="AN48" s="140">
        <f>IF(AN27=0,"no data", SUM(AN27:AN33))</f>
        <v>205.55186889000001</v>
      </c>
      <c r="AO48" s="140">
        <f>IF(AO27=0,"no data", AVERAGE(AO27:AO33))</f>
        <v>992.0870157142856</v>
      </c>
      <c r="AP48" s="140">
        <f>AN48*AO48</f>
        <v>203925.34018157423</v>
      </c>
      <c r="AQ48" s="144">
        <f>IF(AQ27=0,"no data", AVERAGE(AQ27:AQ33))</f>
        <v>8711.7401663227211</v>
      </c>
      <c r="AR48" s="135"/>
      <c r="AS48" s="136"/>
      <c r="BA48" s="113"/>
      <c r="BC48" s="114"/>
      <c r="BS48" s="4"/>
      <c r="BT48" s="5"/>
      <c r="BU48" s="5"/>
      <c r="BV48" s="6"/>
    </row>
    <row r="49" spans="2:74">
      <c r="B49" s="127" t="s">
        <v>301</v>
      </c>
      <c r="C49" s="140">
        <f>IF(C34=0,"no data", AVERAGE(C34:C40))</f>
        <v>77.896666666666661</v>
      </c>
      <c r="D49" s="140">
        <f>IF(D34=0,"no data", AVERAGE(D34:D40))</f>
        <v>0.5802666666666666</v>
      </c>
      <c r="E49" s="140">
        <f>IF(E34=0,"no data", AVERAGE(E34:E40))</f>
        <v>62.99</v>
      </c>
      <c r="F49" s="140">
        <f>IF(F34=0,"no data", AVERAGE(F34:F40))</f>
        <v>91.333333333333329</v>
      </c>
      <c r="G49" s="140">
        <f>IF(G34=0,"no data", AVERAGE(G34:G40))</f>
        <v>68</v>
      </c>
      <c r="H49" s="137">
        <f>SUM(H34:H40)+INT(SUM(I34:I40)/60)</f>
        <v>48</v>
      </c>
      <c r="I49" s="137">
        <f>SUM(I34:I40)-INT(SUM(I34:I40)/60)*60</f>
        <v>34</v>
      </c>
      <c r="J49" s="137">
        <f>SUM(J34:J40)+INT(SUM(K34:K40)/60)</f>
        <v>70</v>
      </c>
      <c r="K49" s="137">
        <f>SUM(K34:K40)-INT(SUM(K34:K40)/60)*60</f>
        <v>36</v>
      </c>
      <c r="L49" s="137">
        <f>SUM(L34:L40)+INT(SUM(M34:M40)/60)</f>
        <v>19</v>
      </c>
      <c r="M49" s="137">
        <f>SUM(M34:M40)-INT(SUM(M34:M40)/60)*60</f>
        <v>45</v>
      </c>
      <c r="N49" s="137">
        <f>SUM(N34:N40)+INT(SUM(O34:O40)/60)</f>
        <v>0</v>
      </c>
      <c r="O49" s="137">
        <f>SUM(O34:O40)-INT(SUM(O34:O40)/60)*60</f>
        <v>0</v>
      </c>
      <c r="P49" s="137">
        <f>SUM(P34:P40)+INT(SUM(Q34:Q40)/60)</f>
        <v>46</v>
      </c>
      <c r="Q49" s="137">
        <f>SUM(Q34:Q40)-INT(SUM(Q34:Q40)/60)*60</f>
        <v>51</v>
      </c>
      <c r="R49" s="139">
        <f>IF(R28=0,"no data", AVERAGE(R34:R40))</f>
        <v>3616.3333333333335</v>
      </c>
      <c r="S49" s="139">
        <f>IF(S34=0,"no data", AVERAGE(S34:S40))</f>
        <v>3480.3333333333335</v>
      </c>
      <c r="T49" s="139">
        <f>IF(T34=0,"no data", AVERAGE(T34:T40))</f>
        <v>2929.6666666666665</v>
      </c>
      <c r="U49" s="139">
        <f>IF(U34=0,"no data", SUM(U34:U40))</f>
        <v>8640</v>
      </c>
      <c r="V49" s="139">
        <f>IF(V34=0,"no data", SUM(V34:V40))</f>
        <v>8928</v>
      </c>
      <c r="W49" s="146">
        <f>IF(W34=0,"no data", AVERAGE(W34:W40))</f>
        <v>43</v>
      </c>
      <c r="X49" s="140" t="e">
        <f>IF(AND(X34=0,X35=0,X36=0,X37=0,X38=0,X39=0,#REF!=0),"No outage",SUM(X34:X40))</f>
        <v>#REF!</v>
      </c>
      <c r="Y49" s="140" t="e">
        <f>IF(AND(Y34=0,Y35=0,Y36=0,Y37=0,Y38=0,Y39=0,#REF!=0),"No outage",SUM(Y34:Y40))</f>
        <v>#REF!</v>
      </c>
      <c r="Z49" s="146" t="str">
        <f>IF(Z34=0,"no data", AVERAGE(Z34:Z40))</f>
        <v>no data</v>
      </c>
      <c r="AA49" s="140" t="e">
        <f>IF(AND(AA34=0,AA35=0,AA36=0,AA37=0,AA38=0,AA39=0,#REF!=0),"No outage",SUM(AA34:AA40))</f>
        <v>#REF!</v>
      </c>
      <c r="AB49" s="140" t="str">
        <f>IF(AB34=0,"no data", AVERAGE(AB34:AB40))</f>
        <v>no data</v>
      </c>
      <c r="AC49" s="139">
        <f>IF(AC34=0,"no data", SUM(AC34:AC40))</f>
        <v>288</v>
      </c>
      <c r="AD49" s="139">
        <f>IF(AD34=0,"no data", SUM(AD34:AD40))</f>
        <v>-149</v>
      </c>
      <c r="AE49" s="146">
        <f>IF(AE34=0,"no data", AVERAGE(AE34:AE40))</f>
        <v>150</v>
      </c>
      <c r="AF49" s="138">
        <f>IF(AF34=0,"no data", AVERAGE(AF34:AF40))</f>
        <v>0.82661427339157456</v>
      </c>
      <c r="AG49" s="140">
        <f>IF(AG34=0,"no data", AVERAGE(AG34:AG40))</f>
        <v>150.68055555555554</v>
      </c>
      <c r="AH49" s="138">
        <f>IF(AH34=0,"no data", AVERAGE(AH34:AH40))</f>
        <v>0.79644803759638327</v>
      </c>
      <c r="AI49" s="138" t="e">
        <f>IF(AI28=0,"no data", AVERAGE(AI34:AI40))</f>
        <v>#DIV/0!</v>
      </c>
      <c r="AJ49" s="138">
        <f>IF(AJ34=0,"no data", AVERAGE(AJ34:AJ40))</f>
        <v>0.91581997265722093</v>
      </c>
      <c r="AK49" s="139">
        <f>IF(AK34=0,"no data", SUM(AK34:AK40))</f>
        <v>22.533999999999999</v>
      </c>
      <c r="AL49" s="140">
        <f>IF(AL34=0,"no data", AVERAGE(AL34:AL40))</f>
        <v>164.50666666666666</v>
      </c>
      <c r="AM49" s="140">
        <f>AK49*AL49</f>
        <v>3706.9932266666665</v>
      </c>
      <c r="AN49" s="140">
        <f>IF(AN34=0,"no data", SUM(AN34:AN40))</f>
        <v>72.870149999999995</v>
      </c>
      <c r="AO49" s="140">
        <f>IF(AO34=0,"no data", AVERAGE(AO34:AO40))</f>
        <v>991.86023333333333</v>
      </c>
      <c r="AP49" s="140">
        <f>AN49*AO49</f>
        <v>72277.003982034992</v>
      </c>
      <c r="AQ49" s="140">
        <f>IF(AQ34=0,"no data", AVERAGE(AQ34:AQ40))</f>
        <v>8795.7506808108683</v>
      </c>
      <c r="AR49" s="135"/>
      <c r="AS49" s="136"/>
      <c r="BA49" s="113"/>
      <c r="BC49" s="114"/>
      <c r="BS49" s="4"/>
      <c r="BT49" s="5"/>
      <c r="BU49" s="5"/>
      <c r="BV49" s="6"/>
    </row>
    <row r="50" spans="2:74">
      <c r="B50" s="147"/>
      <c r="C50" s="148"/>
      <c r="D50" s="148"/>
      <c r="E50" s="148"/>
      <c r="F50" s="148"/>
      <c r="G50" s="149"/>
      <c r="H50" s="149"/>
      <c r="I50" s="149"/>
      <c r="J50" s="149"/>
      <c r="K50" s="150"/>
      <c r="L50" s="150"/>
      <c r="M50" s="150"/>
      <c r="N50" s="150"/>
      <c r="O50" s="151"/>
      <c r="P50" s="151"/>
      <c r="Q50" s="148"/>
      <c r="R50" s="148"/>
      <c r="S50" s="148"/>
      <c r="T50" s="148"/>
      <c r="U50" s="148"/>
      <c r="V50" s="148"/>
      <c r="W50" s="148"/>
      <c r="X50" s="148"/>
      <c r="Y50" s="148"/>
      <c r="Z50" s="148"/>
      <c r="AA50" s="148"/>
      <c r="AB50" s="148"/>
      <c r="AC50" s="151"/>
      <c r="AD50" s="151"/>
      <c r="AE50" s="148"/>
      <c r="AF50" s="151"/>
      <c r="AG50" s="151"/>
      <c r="AH50" s="148"/>
      <c r="AI50" s="148"/>
      <c r="AJ50" s="148"/>
      <c r="AK50" s="148"/>
      <c r="AL50" s="148"/>
      <c r="AM50" s="148"/>
      <c r="AQ50" s="126"/>
      <c r="AR50" s="126"/>
      <c r="AS50" s="126"/>
      <c r="AT50" s="126"/>
      <c r="BA50" s="113"/>
      <c r="BC50" s="114"/>
      <c r="BS50" s="4"/>
      <c r="BT50" s="5"/>
      <c r="BU50" s="5"/>
      <c r="BV50" s="6"/>
    </row>
    <row r="51" spans="2:74" ht="15.75" thickBot="1">
      <c r="B51" s="147"/>
      <c r="C51" s="148"/>
      <c r="D51" s="148"/>
      <c r="E51" s="148"/>
      <c r="F51" s="148"/>
      <c r="G51" s="149"/>
      <c r="H51" s="149"/>
      <c r="I51" s="149"/>
      <c r="J51" s="149"/>
      <c r="K51" s="150"/>
      <c r="L51" s="150"/>
      <c r="M51" s="150"/>
      <c r="N51" s="150"/>
      <c r="O51" s="151"/>
      <c r="P51" s="151"/>
      <c r="Q51" s="148"/>
      <c r="R51" s="148"/>
      <c r="S51" s="148"/>
      <c r="T51" s="148"/>
      <c r="U51" s="148"/>
      <c r="V51" s="148"/>
      <c r="W51" s="148"/>
      <c r="X51" s="148"/>
      <c r="Y51" s="148"/>
      <c r="Z51" s="148"/>
      <c r="AA51" s="148"/>
      <c r="AB51" s="148"/>
      <c r="AC51" s="151"/>
      <c r="AD51" s="151"/>
      <c r="AE51" s="148"/>
      <c r="AF51" s="151"/>
      <c r="AG51" s="151"/>
      <c r="AH51" s="148"/>
      <c r="AI51" s="148"/>
      <c r="AJ51" s="148"/>
      <c r="AK51" s="148"/>
      <c r="AL51" s="148"/>
      <c r="AM51" s="148"/>
      <c r="AQ51" s="126"/>
      <c r="AR51" s="126"/>
      <c r="AS51" s="126"/>
      <c r="AT51" s="126"/>
      <c r="BA51" s="113"/>
      <c r="BC51" s="114"/>
      <c r="BS51" s="4"/>
      <c r="BT51" s="5"/>
      <c r="BU51" s="5"/>
      <c r="BV51" s="6"/>
    </row>
    <row r="52" spans="2:74" ht="16.5" thickTop="1">
      <c r="B52" s="152" t="s">
        <v>121</v>
      </c>
      <c r="C52" s="430" t="s">
        <v>122</v>
      </c>
      <c r="D52" s="431"/>
      <c r="E52" s="431"/>
      <c r="F52" s="431"/>
      <c r="G52" s="431"/>
      <c r="H52" s="431"/>
      <c r="I52" s="431"/>
      <c r="J52" s="431"/>
      <c r="K52" s="431"/>
      <c r="L52" s="431"/>
      <c r="M52" s="431"/>
      <c r="N52" s="431"/>
      <c r="O52" s="431"/>
      <c r="P52" s="431"/>
      <c r="Q52" s="431"/>
      <c r="R52" s="431"/>
      <c r="S52" s="431"/>
      <c r="T52" s="431"/>
      <c r="U52" s="431"/>
      <c r="V52" s="431"/>
      <c r="W52" s="431"/>
      <c r="X52" s="431"/>
      <c r="Y52" s="431"/>
      <c r="Z52" s="431"/>
      <c r="AA52" s="431"/>
      <c r="AB52" s="431"/>
      <c r="AC52" s="431"/>
      <c r="AD52" s="431"/>
      <c r="AE52" s="432"/>
      <c r="AF52" s="151"/>
      <c r="AG52" s="151"/>
      <c r="AH52" s="148"/>
      <c r="AI52" s="148"/>
      <c r="AJ52" s="148"/>
      <c r="AK52" s="148"/>
      <c r="AL52" s="148"/>
      <c r="AM52" s="148"/>
      <c r="AQ52" s="126"/>
      <c r="AR52" s="126"/>
      <c r="AS52" s="126"/>
      <c r="AT52" s="126"/>
      <c r="BA52" s="113"/>
      <c r="BS52" s="4"/>
      <c r="BT52" s="5"/>
      <c r="BU52" s="5"/>
      <c r="BV52" s="6"/>
    </row>
    <row r="53" spans="2:74" ht="15.75">
      <c r="B53" s="153">
        <v>43374</v>
      </c>
      <c r="C53" s="416" t="s">
        <v>296</v>
      </c>
      <c r="D53" s="417"/>
      <c r="E53" s="417"/>
      <c r="F53" s="417"/>
      <c r="G53" s="417"/>
      <c r="H53" s="417"/>
      <c r="I53" s="417"/>
      <c r="J53" s="417"/>
      <c r="K53" s="417"/>
      <c r="L53" s="417"/>
      <c r="M53" s="417"/>
      <c r="N53" s="417"/>
      <c r="O53" s="417"/>
      <c r="P53" s="417"/>
      <c r="Q53" s="417"/>
      <c r="R53" s="417"/>
      <c r="S53" s="417"/>
      <c r="T53" s="417"/>
      <c r="U53" s="417"/>
      <c r="V53" s="417"/>
      <c r="W53" s="417"/>
      <c r="X53" s="417"/>
      <c r="Y53" s="417"/>
      <c r="Z53" s="417"/>
      <c r="AA53" s="417"/>
      <c r="AB53" s="417"/>
      <c r="AC53" s="417"/>
      <c r="AD53" s="417"/>
      <c r="AE53" s="418"/>
      <c r="AF53" s="151"/>
      <c r="AG53" s="151"/>
      <c r="AH53" s="148"/>
      <c r="AI53" s="148"/>
      <c r="AJ53" s="148"/>
      <c r="AK53" s="148"/>
      <c r="AL53" s="148"/>
      <c r="AM53" s="148"/>
      <c r="AQ53" s="126"/>
      <c r="AR53" s="126"/>
      <c r="AS53" s="126"/>
      <c r="AT53" s="126"/>
      <c r="BA53" s="113"/>
      <c r="BS53" s="4"/>
      <c r="BT53" s="5"/>
      <c r="BU53" s="5"/>
      <c r="BV53" s="6"/>
    </row>
    <row r="54" spans="2:74" ht="15.75">
      <c r="B54" s="153">
        <v>43375</v>
      </c>
      <c r="C54" s="416" t="s">
        <v>302</v>
      </c>
      <c r="D54" s="417"/>
      <c r="E54" s="417"/>
      <c r="F54" s="417"/>
      <c r="G54" s="417"/>
      <c r="H54" s="417"/>
      <c r="I54" s="417"/>
      <c r="J54" s="417"/>
      <c r="K54" s="417"/>
      <c r="L54" s="417"/>
      <c r="M54" s="417"/>
      <c r="N54" s="417"/>
      <c r="O54" s="417"/>
      <c r="P54" s="417"/>
      <c r="Q54" s="417"/>
      <c r="R54" s="417"/>
      <c r="S54" s="417"/>
      <c r="T54" s="417"/>
      <c r="U54" s="417"/>
      <c r="V54" s="417"/>
      <c r="W54" s="417"/>
      <c r="X54" s="417"/>
      <c r="Y54" s="417"/>
      <c r="Z54" s="417"/>
      <c r="AA54" s="417"/>
      <c r="AB54" s="417"/>
      <c r="AC54" s="417"/>
      <c r="AD54" s="417"/>
      <c r="AE54" s="418"/>
      <c r="AF54" s="151"/>
      <c r="AG54" s="151"/>
      <c r="AH54" s="148"/>
      <c r="AI54" s="148"/>
      <c r="AJ54" s="148"/>
      <c r="AK54" s="148"/>
      <c r="AL54" s="148"/>
      <c r="AM54" s="148"/>
      <c r="AQ54" s="126"/>
      <c r="AR54" s="126"/>
      <c r="AS54" s="126"/>
      <c r="AT54" s="126"/>
      <c r="BA54" s="113"/>
      <c r="BS54" s="4"/>
      <c r="BT54" s="5"/>
      <c r="BU54" s="5"/>
      <c r="BV54" s="6"/>
    </row>
    <row r="55" spans="2:74" ht="15.75">
      <c r="B55" s="153">
        <v>43376</v>
      </c>
      <c r="C55" s="416" t="s">
        <v>151</v>
      </c>
      <c r="D55" s="417"/>
      <c r="E55" s="417"/>
      <c r="F55" s="417"/>
      <c r="G55" s="417"/>
      <c r="H55" s="417"/>
      <c r="I55" s="417"/>
      <c r="J55" s="417"/>
      <c r="K55" s="417"/>
      <c r="L55" s="417"/>
      <c r="M55" s="417"/>
      <c r="N55" s="417"/>
      <c r="O55" s="417"/>
      <c r="P55" s="417"/>
      <c r="Q55" s="417"/>
      <c r="R55" s="417"/>
      <c r="S55" s="417"/>
      <c r="T55" s="417"/>
      <c r="U55" s="417"/>
      <c r="V55" s="417"/>
      <c r="W55" s="417"/>
      <c r="X55" s="417"/>
      <c r="Y55" s="417"/>
      <c r="Z55" s="417"/>
      <c r="AA55" s="417"/>
      <c r="AB55" s="417"/>
      <c r="AC55" s="417"/>
      <c r="AD55" s="417"/>
      <c r="AE55" s="418"/>
      <c r="AF55" s="151"/>
      <c r="AG55" s="151"/>
      <c r="AH55" s="148"/>
      <c r="AI55" s="148"/>
      <c r="AJ55" s="148"/>
      <c r="AK55" s="148"/>
      <c r="AL55" s="148"/>
      <c r="AM55" s="148"/>
      <c r="AQ55" s="126"/>
      <c r="AR55" s="126"/>
      <c r="AS55" s="126"/>
      <c r="AT55" s="126"/>
      <c r="AU55">
        <v>17</v>
      </c>
      <c r="AV55">
        <v>16</v>
      </c>
      <c r="AW55">
        <v>20</v>
      </c>
      <c r="AX55">
        <f>AW55+AV55+AU55</f>
        <v>53</v>
      </c>
      <c r="BA55" s="113"/>
      <c r="BS55" s="4"/>
      <c r="BT55" s="5"/>
      <c r="BU55" s="5"/>
      <c r="BV55" s="6"/>
    </row>
    <row r="56" spans="2:74" ht="15.75">
      <c r="B56" s="153">
        <v>43377</v>
      </c>
      <c r="C56" s="416" t="s">
        <v>151</v>
      </c>
      <c r="D56" s="417"/>
      <c r="E56" s="417"/>
      <c r="F56" s="417"/>
      <c r="G56" s="417"/>
      <c r="H56" s="417"/>
      <c r="I56" s="417"/>
      <c r="J56" s="417"/>
      <c r="K56" s="417"/>
      <c r="L56" s="417"/>
      <c r="M56" s="417"/>
      <c r="N56" s="417"/>
      <c r="O56" s="417"/>
      <c r="P56" s="417"/>
      <c r="Q56" s="417"/>
      <c r="R56" s="417"/>
      <c r="S56" s="417"/>
      <c r="T56" s="417"/>
      <c r="U56" s="417"/>
      <c r="V56" s="417"/>
      <c r="W56" s="417"/>
      <c r="X56" s="417"/>
      <c r="Y56" s="417"/>
      <c r="Z56" s="417"/>
      <c r="AA56" s="417"/>
      <c r="AB56" s="417"/>
      <c r="AC56" s="417"/>
      <c r="AD56" s="417"/>
      <c r="AE56" s="418"/>
      <c r="AF56" s="151"/>
      <c r="AG56" s="151"/>
      <c r="AH56" s="148"/>
      <c r="AI56" s="148"/>
      <c r="AJ56" s="148"/>
      <c r="AK56" s="148"/>
      <c r="AL56" s="148"/>
      <c r="AM56" s="148"/>
      <c r="AQ56" s="126"/>
      <c r="AR56" s="126"/>
      <c r="AS56" s="126"/>
      <c r="AT56" s="126"/>
      <c r="AU56">
        <f>26.52+22.83</f>
        <v>49.349999999999994</v>
      </c>
      <c r="BA56" s="113"/>
      <c r="BS56" s="4"/>
      <c r="BT56" s="5"/>
      <c r="BU56" s="5"/>
      <c r="BV56" s="6"/>
    </row>
    <row r="57" spans="2:74" ht="15.75">
      <c r="B57" s="153">
        <v>43378</v>
      </c>
      <c r="C57" s="416" t="s">
        <v>303</v>
      </c>
      <c r="D57" s="417"/>
      <c r="E57" s="417"/>
      <c r="F57" s="417"/>
      <c r="G57" s="417"/>
      <c r="H57" s="417"/>
      <c r="I57" s="417"/>
      <c r="J57" s="417"/>
      <c r="K57" s="417"/>
      <c r="L57" s="417"/>
      <c r="M57" s="417"/>
      <c r="N57" s="417"/>
      <c r="O57" s="417"/>
      <c r="P57" s="417"/>
      <c r="Q57" s="417"/>
      <c r="R57" s="417"/>
      <c r="S57" s="417"/>
      <c r="T57" s="417"/>
      <c r="U57" s="417"/>
      <c r="V57" s="417"/>
      <c r="W57" s="417"/>
      <c r="X57" s="417"/>
      <c r="Y57" s="417"/>
      <c r="Z57" s="417"/>
      <c r="AA57" s="417"/>
      <c r="AB57" s="417"/>
      <c r="AC57" s="417"/>
      <c r="AD57" s="417"/>
      <c r="AE57" s="418"/>
      <c r="AF57" s="151"/>
      <c r="AG57" s="151"/>
      <c r="AH57" s="148"/>
      <c r="AI57" s="148"/>
      <c r="AJ57" s="148"/>
      <c r="AK57" s="148"/>
      <c r="AL57" s="148"/>
      <c r="AM57" s="148"/>
      <c r="AQ57" s="126"/>
      <c r="AR57" s="126"/>
      <c r="AS57" s="126"/>
      <c r="AT57" s="126"/>
      <c r="AU57">
        <f>AU56/2</f>
        <v>24.674999999999997</v>
      </c>
      <c r="BA57" s="113"/>
      <c r="BS57" s="4"/>
      <c r="BT57" s="5"/>
      <c r="BU57" s="5"/>
      <c r="BV57" s="6"/>
    </row>
    <row r="58" spans="2:74" ht="15.75">
      <c r="B58" s="153">
        <v>43379</v>
      </c>
      <c r="C58" s="416" t="s">
        <v>304</v>
      </c>
      <c r="D58" s="417"/>
      <c r="E58" s="417"/>
      <c r="F58" s="417"/>
      <c r="G58" s="417"/>
      <c r="H58" s="417"/>
      <c r="I58" s="417"/>
      <c r="J58" s="417"/>
      <c r="K58" s="417"/>
      <c r="L58" s="417"/>
      <c r="M58" s="417"/>
      <c r="N58" s="417"/>
      <c r="O58" s="417"/>
      <c r="P58" s="417"/>
      <c r="Q58" s="417"/>
      <c r="R58" s="417"/>
      <c r="S58" s="417"/>
      <c r="T58" s="417"/>
      <c r="U58" s="417"/>
      <c r="V58" s="417"/>
      <c r="W58" s="417"/>
      <c r="X58" s="417"/>
      <c r="Y58" s="417"/>
      <c r="Z58" s="417"/>
      <c r="AA58" s="417"/>
      <c r="AB58" s="417"/>
      <c r="AC58" s="417"/>
      <c r="AD58" s="417"/>
      <c r="AE58" s="418"/>
      <c r="AF58" s="151"/>
      <c r="AG58" s="151"/>
      <c r="AH58" s="148"/>
      <c r="AI58" s="148"/>
      <c r="AJ58" s="148"/>
      <c r="AK58" s="148"/>
      <c r="AL58" s="148"/>
      <c r="AM58" s="148"/>
      <c r="AQ58" s="126"/>
      <c r="AR58" s="126"/>
      <c r="AS58" s="126"/>
      <c r="AT58" s="126"/>
      <c r="BA58" s="113"/>
      <c r="BS58" s="4"/>
      <c r="BT58" s="5"/>
      <c r="BU58" s="5"/>
      <c r="BV58" s="6"/>
    </row>
    <row r="59" spans="2:74" ht="15.75">
      <c r="B59" s="153">
        <v>43380</v>
      </c>
      <c r="C59" s="416" t="s">
        <v>305</v>
      </c>
      <c r="D59" s="417"/>
      <c r="E59" s="417"/>
      <c r="F59" s="417"/>
      <c r="G59" s="417"/>
      <c r="H59" s="417"/>
      <c r="I59" s="417"/>
      <c r="J59" s="417"/>
      <c r="K59" s="417"/>
      <c r="L59" s="417"/>
      <c r="M59" s="417"/>
      <c r="N59" s="417"/>
      <c r="O59" s="417"/>
      <c r="P59" s="417"/>
      <c r="Q59" s="417"/>
      <c r="R59" s="417"/>
      <c r="S59" s="417"/>
      <c r="T59" s="417"/>
      <c r="U59" s="417"/>
      <c r="V59" s="417"/>
      <c r="W59" s="417"/>
      <c r="X59" s="417"/>
      <c r="Y59" s="417"/>
      <c r="Z59" s="417"/>
      <c r="AA59" s="417"/>
      <c r="AB59" s="417"/>
      <c r="AC59" s="417"/>
      <c r="AD59" s="417"/>
      <c r="AE59" s="418"/>
      <c r="AF59" s="151"/>
      <c r="AG59" s="151"/>
      <c r="AH59" s="148"/>
      <c r="AI59" s="148"/>
      <c r="AJ59" s="148"/>
      <c r="AK59" s="148"/>
      <c r="AL59" s="148"/>
      <c r="AM59" s="148"/>
      <c r="AQ59" s="126"/>
      <c r="AR59" s="126"/>
      <c r="AS59" s="126"/>
      <c r="AT59" s="126"/>
      <c r="BA59" s="113"/>
      <c r="BS59" s="4"/>
      <c r="BT59" s="5"/>
      <c r="BU59" s="5"/>
      <c r="BV59" s="6"/>
    </row>
    <row r="60" spans="2:74" ht="15.75">
      <c r="B60" s="153">
        <v>43381</v>
      </c>
      <c r="C60" s="416" t="s">
        <v>306</v>
      </c>
      <c r="D60" s="417"/>
      <c r="E60" s="417"/>
      <c r="F60" s="417"/>
      <c r="G60" s="417"/>
      <c r="H60" s="417"/>
      <c r="I60" s="417"/>
      <c r="J60" s="417"/>
      <c r="K60" s="417"/>
      <c r="L60" s="417"/>
      <c r="M60" s="417"/>
      <c r="N60" s="417"/>
      <c r="O60" s="417"/>
      <c r="P60" s="417"/>
      <c r="Q60" s="417"/>
      <c r="R60" s="417"/>
      <c r="S60" s="417"/>
      <c r="T60" s="417"/>
      <c r="U60" s="417"/>
      <c r="V60" s="417"/>
      <c r="W60" s="417"/>
      <c r="X60" s="417"/>
      <c r="Y60" s="417"/>
      <c r="Z60" s="417"/>
      <c r="AA60" s="417"/>
      <c r="AB60" s="417"/>
      <c r="AC60" s="417"/>
      <c r="AD60" s="417"/>
      <c r="AE60" s="418"/>
      <c r="AF60" s="151"/>
      <c r="AG60" s="151"/>
      <c r="AH60" s="148"/>
      <c r="AI60" s="148"/>
      <c r="AJ60" s="148"/>
      <c r="AK60" s="148"/>
      <c r="AL60" s="148"/>
      <c r="AM60" s="148"/>
      <c r="AQ60" s="126"/>
      <c r="AR60" s="126"/>
      <c r="AS60" s="126"/>
      <c r="AT60" s="126"/>
      <c r="BA60" s="113"/>
      <c r="BS60" s="4"/>
      <c r="BT60" s="5"/>
      <c r="BU60" s="5"/>
      <c r="BV60" s="6"/>
    </row>
    <row r="61" spans="2:74" ht="15.75">
      <c r="B61" s="153">
        <v>43382</v>
      </c>
      <c r="C61" s="416" t="s">
        <v>307</v>
      </c>
      <c r="D61" s="417"/>
      <c r="E61" s="417"/>
      <c r="F61" s="417"/>
      <c r="G61" s="417"/>
      <c r="H61" s="417"/>
      <c r="I61" s="417"/>
      <c r="J61" s="417"/>
      <c r="K61" s="417"/>
      <c r="L61" s="417"/>
      <c r="M61" s="417"/>
      <c r="N61" s="417"/>
      <c r="O61" s="417"/>
      <c r="P61" s="417"/>
      <c r="Q61" s="417"/>
      <c r="R61" s="417"/>
      <c r="S61" s="417"/>
      <c r="T61" s="417"/>
      <c r="U61" s="417"/>
      <c r="V61" s="417"/>
      <c r="W61" s="417"/>
      <c r="X61" s="417"/>
      <c r="Y61" s="417"/>
      <c r="Z61" s="417"/>
      <c r="AA61" s="417"/>
      <c r="AB61" s="417"/>
      <c r="AC61" s="417"/>
      <c r="AD61" s="417"/>
      <c r="AE61" s="418"/>
      <c r="AF61" s="151"/>
      <c r="AG61" s="151"/>
      <c r="AH61" s="148"/>
      <c r="AI61" s="148"/>
      <c r="AJ61" s="148"/>
      <c r="AK61" s="148"/>
      <c r="AL61" s="148"/>
      <c r="AM61" s="148"/>
      <c r="AQ61" s="126"/>
      <c r="AR61" s="126"/>
      <c r="AS61" s="126"/>
      <c r="AT61" s="126"/>
      <c r="BA61" s="113"/>
      <c r="BS61" s="4"/>
      <c r="BT61" s="5"/>
      <c r="BU61" s="5"/>
      <c r="BV61" s="6"/>
    </row>
    <row r="62" spans="2:74" ht="15.75">
      <c r="B62" s="153">
        <v>43383</v>
      </c>
      <c r="C62" s="416" t="s">
        <v>308</v>
      </c>
      <c r="D62" s="417"/>
      <c r="E62" s="417"/>
      <c r="F62" s="417"/>
      <c r="G62" s="417"/>
      <c r="H62" s="417"/>
      <c r="I62" s="417"/>
      <c r="J62" s="417"/>
      <c r="K62" s="417"/>
      <c r="L62" s="417"/>
      <c r="M62" s="417"/>
      <c r="N62" s="417"/>
      <c r="O62" s="417"/>
      <c r="P62" s="417"/>
      <c r="Q62" s="417"/>
      <c r="R62" s="417"/>
      <c r="S62" s="417"/>
      <c r="T62" s="417"/>
      <c r="U62" s="417"/>
      <c r="V62" s="417"/>
      <c r="W62" s="417"/>
      <c r="X62" s="417"/>
      <c r="Y62" s="417"/>
      <c r="Z62" s="417"/>
      <c r="AA62" s="417"/>
      <c r="AB62" s="417"/>
      <c r="AC62" s="417"/>
      <c r="AD62" s="417"/>
      <c r="AE62" s="418"/>
      <c r="AF62" s="151"/>
      <c r="AG62" s="151"/>
      <c r="AH62" s="148"/>
      <c r="AI62" s="148"/>
      <c r="AJ62" s="148"/>
      <c r="AK62" s="148"/>
      <c r="AL62" s="148"/>
      <c r="AM62" s="148"/>
      <c r="AQ62" s="126"/>
      <c r="AR62" s="126"/>
      <c r="AS62" s="126"/>
      <c r="AT62" s="126"/>
      <c r="BA62" s="113"/>
      <c r="BS62" s="4"/>
      <c r="BT62" s="5"/>
      <c r="BU62" s="5"/>
      <c r="BV62" s="6"/>
    </row>
    <row r="63" spans="2:74" ht="15.75">
      <c r="B63" s="153">
        <v>43384</v>
      </c>
      <c r="C63" s="416" t="s">
        <v>309</v>
      </c>
      <c r="D63" s="417"/>
      <c r="E63" s="417"/>
      <c r="F63" s="417"/>
      <c r="G63" s="417"/>
      <c r="H63" s="417"/>
      <c r="I63" s="417"/>
      <c r="J63" s="417"/>
      <c r="K63" s="417"/>
      <c r="L63" s="417"/>
      <c r="M63" s="417"/>
      <c r="N63" s="417"/>
      <c r="O63" s="417"/>
      <c r="P63" s="417"/>
      <c r="Q63" s="417"/>
      <c r="R63" s="417"/>
      <c r="S63" s="417"/>
      <c r="T63" s="417"/>
      <c r="U63" s="417"/>
      <c r="V63" s="417"/>
      <c r="W63" s="417"/>
      <c r="X63" s="417"/>
      <c r="Y63" s="417"/>
      <c r="Z63" s="417"/>
      <c r="AA63" s="417"/>
      <c r="AB63" s="417"/>
      <c r="AC63" s="417"/>
      <c r="AD63" s="417"/>
      <c r="AE63" s="418"/>
      <c r="AF63" s="151"/>
      <c r="AG63" s="151"/>
      <c r="AH63" s="148"/>
      <c r="AI63" s="148"/>
      <c r="AJ63" s="148"/>
      <c r="AK63" s="148"/>
      <c r="AL63" s="148"/>
      <c r="AM63" s="148"/>
      <c r="AQ63" s="126"/>
      <c r="AR63" s="126"/>
      <c r="AS63" s="126"/>
      <c r="AT63" s="126"/>
      <c r="BA63" s="113"/>
      <c r="BS63" s="4"/>
      <c r="BT63" s="5"/>
      <c r="BU63" s="5"/>
      <c r="BV63" s="6"/>
    </row>
    <row r="64" spans="2:74" ht="15.75" customHeight="1">
      <c r="B64" s="153">
        <v>43385</v>
      </c>
      <c r="C64" s="416" t="s">
        <v>310</v>
      </c>
      <c r="D64" s="417"/>
      <c r="E64" s="417"/>
      <c r="F64" s="417"/>
      <c r="G64" s="417"/>
      <c r="H64" s="417"/>
      <c r="I64" s="417"/>
      <c r="J64" s="417"/>
      <c r="K64" s="417"/>
      <c r="L64" s="417"/>
      <c r="M64" s="417"/>
      <c r="N64" s="417"/>
      <c r="O64" s="417"/>
      <c r="P64" s="417"/>
      <c r="Q64" s="417"/>
      <c r="R64" s="417"/>
      <c r="S64" s="417"/>
      <c r="T64" s="417"/>
      <c r="U64" s="417"/>
      <c r="V64" s="417"/>
      <c r="W64" s="417"/>
      <c r="X64" s="417"/>
      <c r="Y64" s="417"/>
      <c r="Z64" s="417"/>
      <c r="AA64" s="417"/>
      <c r="AB64" s="417"/>
      <c r="AC64" s="417"/>
      <c r="AD64" s="417"/>
      <c r="AE64" s="418"/>
      <c r="AF64" s="151"/>
      <c r="AG64" s="151"/>
      <c r="AH64" s="148"/>
      <c r="AI64" s="148"/>
      <c r="AJ64" s="148"/>
      <c r="AK64" s="148"/>
      <c r="AL64" s="148"/>
      <c r="AM64" s="148"/>
      <c r="AQ64" s="126"/>
      <c r="AR64" s="126"/>
      <c r="AS64" s="126"/>
      <c r="AT64" s="126"/>
      <c r="BA64" s="113"/>
      <c r="BS64" s="4"/>
      <c r="BT64" s="5"/>
      <c r="BU64" s="5"/>
      <c r="BV64" s="6"/>
    </row>
    <row r="65" spans="2:74" ht="15.75">
      <c r="B65" s="153">
        <v>43386</v>
      </c>
      <c r="C65" s="416" t="s">
        <v>311</v>
      </c>
      <c r="D65" s="417"/>
      <c r="E65" s="417"/>
      <c r="F65" s="417"/>
      <c r="G65" s="417"/>
      <c r="H65" s="417"/>
      <c r="I65" s="417"/>
      <c r="J65" s="417"/>
      <c r="K65" s="417"/>
      <c r="L65" s="417"/>
      <c r="M65" s="417"/>
      <c r="N65" s="417"/>
      <c r="O65" s="417"/>
      <c r="P65" s="417"/>
      <c r="Q65" s="417"/>
      <c r="R65" s="417"/>
      <c r="S65" s="417"/>
      <c r="T65" s="417"/>
      <c r="U65" s="417"/>
      <c r="V65" s="417"/>
      <c r="W65" s="417"/>
      <c r="X65" s="417"/>
      <c r="Y65" s="417"/>
      <c r="Z65" s="417"/>
      <c r="AA65" s="417"/>
      <c r="AB65" s="417"/>
      <c r="AC65" s="417"/>
      <c r="AD65" s="417"/>
      <c r="AE65" s="418"/>
      <c r="AF65" s="151"/>
      <c r="AG65" s="151"/>
      <c r="AH65" s="148"/>
      <c r="AI65" s="148"/>
      <c r="AJ65" s="148"/>
      <c r="AK65" s="148"/>
      <c r="AL65" s="148"/>
      <c r="AM65" s="148"/>
      <c r="AQ65" s="126"/>
      <c r="AR65" s="126"/>
      <c r="AS65" s="126"/>
      <c r="AT65" s="126"/>
      <c r="BA65" s="113"/>
      <c r="BS65" s="4"/>
      <c r="BT65" s="5"/>
      <c r="BU65" s="5"/>
      <c r="BV65" s="6"/>
    </row>
    <row r="66" spans="2:74" ht="15.75">
      <c r="B66" s="153">
        <v>43387</v>
      </c>
      <c r="C66" s="526" t="s">
        <v>312</v>
      </c>
      <c r="D66" s="527"/>
      <c r="E66" s="527"/>
      <c r="F66" s="527"/>
      <c r="G66" s="527"/>
      <c r="H66" s="527"/>
      <c r="I66" s="527"/>
      <c r="J66" s="527"/>
      <c r="K66" s="527"/>
      <c r="L66" s="527"/>
      <c r="M66" s="527"/>
      <c r="N66" s="527"/>
      <c r="O66" s="527"/>
      <c r="P66" s="527"/>
      <c r="Q66" s="527"/>
      <c r="R66" s="527"/>
      <c r="S66" s="527"/>
      <c r="T66" s="527"/>
      <c r="U66" s="527"/>
      <c r="V66" s="527"/>
      <c r="W66" s="527"/>
      <c r="X66" s="527"/>
      <c r="Y66" s="527"/>
      <c r="Z66" s="527"/>
      <c r="AA66" s="527"/>
      <c r="AB66" s="527"/>
      <c r="AC66" s="527"/>
      <c r="AD66" s="527"/>
      <c r="AE66" s="528"/>
      <c r="AF66" s="151"/>
      <c r="AG66" s="151"/>
      <c r="AH66" s="148"/>
      <c r="AI66" s="148"/>
      <c r="AJ66" s="148"/>
      <c r="AK66" s="148"/>
      <c r="AL66" s="148"/>
      <c r="AM66" s="148"/>
      <c r="AQ66" s="126"/>
      <c r="AR66" s="126"/>
      <c r="AS66" s="126"/>
      <c r="AT66" s="126"/>
      <c r="BA66" s="113"/>
      <c r="BS66" s="4"/>
      <c r="BT66" s="5"/>
      <c r="BU66" s="5"/>
      <c r="BV66" s="6"/>
    </row>
    <row r="67" spans="2:74" ht="15.75">
      <c r="B67" s="153">
        <v>43388</v>
      </c>
      <c r="C67" s="416" t="s">
        <v>313</v>
      </c>
      <c r="D67" s="417"/>
      <c r="E67" s="417"/>
      <c r="F67" s="417"/>
      <c r="G67" s="417"/>
      <c r="H67" s="417"/>
      <c r="I67" s="417"/>
      <c r="J67" s="417"/>
      <c r="K67" s="417"/>
      <c r="L67" s="417"/>
      <c r="M67" s="417"/>
      <c r="N67" s="417"/>
      <c r="O67" s="417"/>
      <c r="P67" s="417"/>
      <c r="Q67" s="417"/>
      <c r="R67" s="417"/>
      <c r="S67" s="417"/>
      <c r="T67" s="417"/>
      <c r="U67" s="417"/>
      <c r="V67" s="417"/>
      <c r="W67" s="417"/>
      <c r="X67" s="417"/>
      <c r="Y67" s="417"/>
      <c r="Z67" s="417"/>
      <c r="AA67" s="417"/>
      <c r="AB67" s="417"/>
      <c r="AC67" s="417"/>
      <c r="AD67" s="417"/>
      <c r="AE67" s="418"/>
      <c r="AF67" s="151"/>
      <c r="AG67" s="151"/>
      <c r="AH67" s="148"/>
      <c r="AI67" s="148"/>
      <c r="AJ67" s="148"/>
      <c r="AK67" s="148"/>
      <c r="AL67" s="148"/>
      <c r="AM67" s="148"/>
      <c r="AQ67" s="126"/>
      <c r="AR67" s="126"/>
      <c r="AS67" s="126"/>
      <c r="AT67" s="126"/>
      <c r="BA67" s="113"/>
      <c r="BS67" s="4"/>
      <c r="BT67" s="5"/>
      <c r="BU67" s="5"/>
      <c r="BV67" s="6"/>
    </row>
    <row r="68" spans="2:74" ht="15.75">
      <c r="B68" s="153">
        <v>43389</v>
      </c>
      <c r="C68" s="416" t="s">
        <v>151</v>
      </c>
      <c r="D68" s="417"/>
      <c r="E68" s="417"/>
      <c r="F68" s="417"/>
      <c r="G68" s="417"/>
      <c r="H68" s="417"/>
      <c r="I68" s="417"/>
      <c r="J68" s="417"/>
      <c r="K68" s="417"/>
      <c r="L68" s="417"/>
      <c r="M68" s="417"/>
      <c r="N68" s="417"/>
      <c r="O68" s="417"/>
      <c r="P68" s="417"/>
      <c r="Q68" s="417"/>
      <c r="R68" s="417"/>
      <c r="S68" s="417"/>
      <c r="T68" s="417"/>
      <c r="U68" s="417"/>
      <c r="V68" s="417"/>
      <c r="W68" s="417"/>
      <c r="X68" s="417"/>
      <c r="Y68" s="417"/>
      <c r="Z68" s="417"/>
      <c r="AA68" s="417"/>
      <c r="AB68" s="417"/>
      <c r="AC68" s="417"/>
      <c r="AD68" s="417"/>
      <c r="AE68" s="418"/>
      <c r="AF68" s="151"/>
      <c r="AG68" s="151"/>
      <c r="AH68" s="148"/>
      <c r="AI68" s="148"/>
      <c r="AJ68" s="148"/>
      <c r="AK68" s="148"/>
      <c r="AL68" s="148"/>
      <c r="AM68" s="148"/>
      <c r="AQ68" s="126"/>
      <c r="AR68" s="126"/>
      <c r="AS68" s="126"/>
      <c r="AT68" s="126"/>
      <c r="BA68" s="113"/>
      <c r="BS68" s="4"/>
      <c r="BT68" s="5"/>
      <c r="BU68" s="5"/>
      <c r="BV68" s="6"/>
    </row>
    <row r="69" spans="2:74" ht="15.75">
      <c r="B69" s="153">
        <v>43390</v>
      </c>
      <c r="C69" s="416" t="s">
        <v>151</v>
      </c>
      <c r="D69" s="417"/>
      <c r="E69" s="417"/>
      <c r="F69" s="417"/>
      <c r="G69" s="417"/>
      <c r="H69" s="417"/>
      <c r="I69" s="417"/>
      <c r="J69" s="417"/>
      <c r="K69" s="417"/>
      <c r="L69" s="417"/>
      <c r="M69" s="417"/>
      <c r="N69" s="417"/>
      <c r="O69" s="417"/>
      <c r="P69" s="417"/>
      <c r="Q69" s="417"/>
      <c r="R69" s="417"/>
      <c r="S69" s="417"/>
      <c r="T69" s="417"/>
      <c r="U69" s="417"/>
      <c r="V69" s="417"/>
      <c r="W69" s="417"/>
      <c r="X69" s="417"/>
      <c r="Y69" s="417"/>
      <c r="Z69" s="417"/>
      <c r="AA69" s="417"/>
      <c r="AB69" s="417"/>
      <c r="AC69" s="417"/>
      <c r="AD69" s="417"/>
      <c r="AE69" s="418"/>
      <c r="AF69" s="151"/>
      <c r="AG69" s="151"/>
      <c r="AH69" s="148"/>
      <c r="AI69" s="148"/>
      <c r="AJ69" s="148"/>
      <c r="AK69" s="148"/>
      <c r="AL69" s="148"/>
      <c r="AM69" s="148"/>
      <c r="AQ69" s="126"/>
      <c r="AR69" s="126"/>
      <c r="AS69" s="126"/>
      <c r="AT69" s="126"/>
      <c r="BA69" s="113"/>
      <c r="BS69" s="4"/>
      <c r="BT69" s="5"/>
      <c r="BU69" s="5"/>
      <c r="BV69" s="6"/>
    </row>
    <row r="70" spans="2:74" ht="15.75">
      <c r="B70" s="153">
        <v>43391</v>
      </c>
      <c r="C70" s="416" t="s">
        <v>151</v>
      </c>
      <c r="D70" s="417"/>
      <c r="E70" s="417"/>
      <c r="F70" s="417"/>
      <c r="G70" s="417"/>
      <c r="H70" s="417"/>
      <c r="I70" s="417"/>
      <c r="J70" s="417"/>
      <c r="K70" s="417"/>
      <c r="L70" s="417"/>
      <c r="M70" s="417"/>
      <c r="N70" s="417"/>
      <c r="O70" s="417"/>
      <c r="P70" s="417"/>
      <c r="Q70" s="417"/>
      <c r="R70" s="417"/>
      <c r="S70" s="417"/>
      <c r="T70" s="417"/>
      <c r="U70" s="417"/>
      <c r="V70" s="417"/>
      <c r="W70" s="417"/>
      <c r="X70" s="417"/>
      <c r="Y70" s="417"/>
      <c r="Z70" s="417"/>
      <c r="AA70" s="417"/>
      <c r="AB70" s="417"/>
      <c r="AC70" s="417"/>
      <c r="AD70" s="417"/>
      <c r="AE70" s="418"/>
      <c r="AF70" s="151"/>
      <c r="AG70" s="151"/>
      <c r="AH70" s="148"/>
      <c r="AI70" s="148"/>
      <c r="AJ70" s="148"/>
      <c r="AK70" s="148"/>
      <c r="AL70" s="148"/>
      <c r="AM70" s="148"/>
      <c r="AQ70" s="126"/>
      <c r="AR70" s="126"/>
      <c r="AS70" s="126"/>
      <c r="AT70" s="126"/>
      <c r="BA70" s="113"/>
      <c r="BS70" s="4"/>
      <c r="BT70" s="5"/>
      <c r="BU70" s="5"/>
      <c r="BV70" s="6"/>
    </row>
    <row r="71" spans="2:74" ht="15.75">
      <c r="B71" s="153">
        <v>43392</v>
      </c>
      <c r="C71" s="416" t="s">
        <v>151</v>
      </c>
      <c r="D71" s="417"/>
      <c r="E71" s="417"/>
      <c r="F71" s="417"/>
      <c r="G71" s="417"/>
      <c r="H71" s="417"/>
      <c r="I71" s="417"/>
      <c r="J71" s="417"/>
      <c r="K71" s="417"/>
      <c r="L71" s="417"/>
      <c r="M71" s="417"/>
      <c r="N71" s="417"/>
      <c r="O71" s="417"/>
      <c r="P71" s="417"/>
      <c r="Q71" s="417"/>
      <c r="R71" s="417"/>
      <c r="S71" s="417"/>
      <c r="T71" s="417"/>
      <c r="U71" s="417"/>
      <c r="V71" s="417"/>
      <c r="W71" s="417"/>
      <c r="X71" s="417"/>
      <c r="Y71" s="417"/>
      <c r="Z71" s="417"/>
      <c r="AA71" s="417"/>
      <c r="AB71" s="417"/>
      <c r="AC71" s="417"/>
      <c r="AD71" s="417"/>
      <c r="AE71" s="418"/>
      <c r="AF71" s="151"/>
      <c r="AG71" s="151"/>
      <c r="AH71" s="148"/>
      <c r="AI71" s="148"/>
      <c r="AJ71" s="148"/>
      <c r="AK71" s="148"/>
      <c r="AL71" s="148"/>
      <c r="AM71" s="148"/>
      <c r="AQ71" s="126"/>
      <c r="AR71" s="126"/>
      <c r="AS71" s="126"/>
      <c r="AT71" s="126"/>
      <c r="BA71" s="113"/>
      <c r="BS71" s="4"/>
      <c r="BT71" s="5"/>
      <c r="BU71" s="5"/>
      <c r="BV71" s="6"/>
    </row>
    <row r="72" spans="2:74" ht="15.75">
      <c r="B72" s="153">
        <v>43393</v>
      </c>
      <c r="C72" s="416" t="s">
        <v>151</v>
      </c>
      <c r="D72" s="417"/>
      <c r="E72" s="417"/>
      <c r="F72" s="417"/>
      <c r="G72" s="417"/>
      <c r="H72" s="417"/>
      <c r="I72" s="417"/>
      <c r="J72" s="417"/>
      <c r="K72" s="417"/>
      <c r="L72" s="417"/>
      <c r="M72" s="417"/>
      <c r="N72" s="417"/>
      <c r="O72" s="417"/>
      <c r="P72" s="417"/>
      <c r="Q72" s="417"/>
      <c r="R72" s="417"/>
      <c r="S72" s="417"/>
      <c r="T72" s="417"/>
      <c r="U72" s="417"/>
      <c r="V72" s="417"/>
      <c r="W72" s="417"/>
      <c r="X72" s="417"/>
      <c r="Y72" s="417"/>
      <c r="Z72" s="417"/>
      <c r="AA72" s="417"/>
      <c r="AB72" s="417"/>
      <c r="AC72" s="417"/>
      <c r="AD72" s="417"/>
      <c r="AE72" s="418"/>
      <c r="AF72" s="151"/>
      <c r="AG72" s="151"/>
      <c r="AH72" s="148"/>
      <c r="AI72" s="148"/>
      <c r="AJ72" s="148"/>
      <c r="AK72" s="148"/>
      <c r="AL72" s="148"/>
      <c r="AM72" s="148"/>
      <c r="AQ72" s="126"/>
      <c r="AR72" s="126"/>
      <c r="AS72" s="126"/>
      <c r="AT72" s="126"/>
      <c r="BA72" s="113"/>
      <c r="BS72" s="4"/>
      <c r="BT72" s="5"/>
      <c r="BU72" s="5"/>
      <c r="BV72" s="6"/>
    </row>
    <row r="73" spans="2:74" ht="15.75">
      <c r="B73" s="153">
        <v>43394</v>
      </c>
      <c r="C73" s="416" t="s">
        <v>151</v>
      </c>
      <c r="D73" s="417"/>
      <c r="E73" s="417"/>
      <c r="F73" s="417"/>
      <c r="G73" s="417"/>
      <c r="H73" s="417"/>
      <c r="I73" s="417"/>
      <c r="J73" s="417"/>
      <c r="K73" s="417"/>
      <c r="L73" s="417"/>
      <c r="M73" s="417"/>
      <c r="N73" s="417"/>
      <c r="O73" s="417"/>
      <c r="P73" s="417"/>
      <c r="Q73" s="417"/>
      <c r="R73" s="417"/>
      <c r="S73" s="417"/>
      <c r="T73" s="417"/>
      <c r="U73" s="417"/>
      <c r="V73" s="417"/>
      <c r="W73" s="417"/>
      <c r="X73" s="417"/>
      <c r="Y73" s="417"/>
      <c r="Z73" s="417"/>
      <c r="AA73" s="417"/>
      <c r="AB73" s="417"/>
      <c r="AC73" s="417"/>
      <c r="AD73" s="417"/>
      <c r="AE73" s="418"/>
      <c r="AF73" s="151"/>
      <c r="AG73" s="151"/>
      <c r="AH73" s="148"/>
      <c r="AI73" s="148"/>
      <c r="AJ73" s="148"/>
      <c r="AK73" s="148"/>
      <c r="AL73" s="148"/>
      <c r="AM73" s="148"/>
      <c r="AQ73" s="126"/>
      <c r="AR73" s="126"/>
      <c r="AS73" s="126"/>
      <c r="AT73" s="126"/>
      <c r="BA73" s="113"/>
      <c r="BS73" s="4"/>
      <c r="BT73" s="5"/>
      <c r="BU73" s="5"/>
      <c r="BV73" s="6"/>
    </row>
    <row r="74" spans="2:74" ht="15.75">
      <c r="B74" s="153">
        <v>43395</v>
      </c>
      <c r="C74" s="416" t="s">
        <v>151</v>
      </c>
      <c r="D74" s="417"/>
      <c r="E74" s="417"/>
      <c r="F74" s="417"/>
      <c r="G74" s="417"/>
      <c r="H74" s="417"/>
      <c r="I74" s="417"/>
      <c r="J74" s="417"/>
      <c r="K74" s="417"/>
      <c r="L74" s="417"/>
      <c r="M74" s="417"/>
      <c r="N74" s="417"/>
      <c r="O74" s="417"/>
      <c r="P74" s="417"/>
      <c r="Q74" s="417"/>
      <c r="R74" s="417"/>
      <c r="S74" s="417"/>
      <c r="T74" s="417"/>
      <c r="U74" s="417"/>
      <c r="V74" s="417"/>
      <c r="W74" s="417"/>
      <c r="X74" s="417"/>
      <c r="Y74" s="417"/>
      <c r="Z74" s="417"/>
      <c r="AA74" s="417"/>
      <c r="AB74" s="417"/>
      <c r="AC74" s="417"/>
      <c r="AD74" s="417"/>
      <c r="AE74" s="418"/>
      <c r="AF74" s="151"/>
      <c r="AG74" s="151"/>
      <c r="AH74" s="148"/>
      <c r="AI74" s="148"/>
      <c r="AJ74" s="148"/>
      <c r="AK74" s="148"/>
      <c r="AL74" s="148"/>
      <c r="AM74" s="148"/>
      <c r="AQ74" s="126"/>
      <c r="AR74" s="126"/>
      <c r="AS74" s="126"/>
      <c r="AT74" s="126"/>
      <c r="BA74" s="113"/>
      <c r="BS74" s="4"/>
      <c r="BT74" s="5"/>
      <c r="BU74" s="5"/>
      <c r="BV74" s="6"/>
    </row>
    <row r="75" spans="2:74" ht="15.75">
      <c r="B75" s="153">
        <v>43396</v>
      </c>
      <c r="C75" s="416" t="s">
        <v>151</v>
      </c>
      <c r="D75" s="417"/>
      <c r="E75" s="417"/>
      <c r="F75" s="417"/>
      <c r="G75" s="417"/>
      <c r="H75" s="417"/>
      <c r="I75" s="417"/>
      <c r="J75" s="417"/>
      <c r="K75" s="417"/>
      <c r="L75" s="417"/>
      <c r="M75" s="417"/>
      <c r="N75" s="417"/>
      <c r="O75" s="417"/>
      <c r="P75" s="417"/>
      <c r="Q75" s="417"/>
      <c r="R75" s="417"/>
      <c r="S75" s="417"/>
      <c r="T75" s="417"/>
      <c r="U75" s="417"/>
      <c r="V75" s="417"/>
      <c r="W75" s="417"/>
      <c r="X75" s="417"/>
      <c r="Y75" s="417"/>
      <c r="Z75" s="417"/>
      <c r="AA75" s="417"/>
      <c r="AB75" s="417"/>
      <c r="AC75" s="417"/>
      <c r="AD75" s="417"/>
      <c r="AE75" s="418"/>
      <c r="AF75" s="151"/>
      <c r="AG75" s="151"/>
      <c r="AH75" s="148"/>
      <c r="AI75" s="148"/>
      <c r="AJ75" s="148"/>
      <c r="AK75" s="148"/>
      <c r="AL75" s="148"/>
      <c r="AM75" s="148"/>
      <c r="AQ75" s="126"/>
      <c r="AR75" s="126"/>
      <c r="AS75" s="126"/>
      <c r="AT75" s="126"/>
      <c r="BA75" s="113"/>
      <c r="BS75" s="4"/>
      <c r="BT75" s="5"/>
      <c r="BU75" s="5"/>
      <c r="BV75" s="6"/>
    </row>
    <row r="76" spans="2:74" ht="15.75">
      <c r="B76" s="153">
        <v>43397</v>
      </c>
      <c r="C76" s="416" t="s">
        <v>151</v>
      </c>
      <c r="D76" s="417"/>
      <c r="E76" s="417"/>
      <c r="F76" s="417"/>
      <c r="G76" s="417"/>
      <c r="H76" s="417"/>
      <c r="I76" s="417"/>
      <c r="J76" s="417"/>
      <c r="K76" s="417"/>
      <c r="L76" s="417"/>
      <c r="M76" s="417"/>
      <c r="N76" s="417"/>
      <c r="O76" s="417"/>
      <c r="P76" s="417"/>
      <c r="Q76" s="417"/>
      <c r="R76" s="417"/>
      <c r="S76" s="417"/>
      <c r="T76" s="417"/>
      <c r="U76" s="417"/>
      <c r="V76" s="417"/>
      <c r="W76" s="417"/>
      <c r="X76" s="417"/>
      <c r="Y76" s="417"/>
      <c r="Z76" s="417"/>
      <c r="AA76" s="417"/>
      <c r="AB76" s="417"/>
      <c r="AC76" s="417"/>
      <c r="AD76" s="417"/>
      <c r="AE76" s="418"/>
      <c r="AF76" s="151"/>
      <c r="AG76" s="151"/>
      <c r="AH76" s="148"/>
      <c r="AI76" s="148"/>
      <c r="AJ76" s="148"/>
      <c r="AK76" s="148"/>
      <c r="AL76" s="148"/>
      <c r="AM76" s="148"/>
      <c r="AQ76" s="126"/>
      <c r="AR76" s="126"/>
      <c r="AS76" s="126"/>
      <c r="AT76" s="126"/>
      <c r="BA76" s="113"/>
      <c r="BS76" s="4"/>
      <c r="BT76" s="5"/>
      <c r="BU76" s="5"/>
      <c r="BV76" s="6"/>
    </row>
    <row r="77" spans="2:74" ht="15.75">
      <c r="B77" s="153">
        <v>43398</v>
      </c>
      <c r="C77" s="416" t="s">
        <v>151</v>
      </c>
      <c r="D77" s="417"/>
      <c r="E77" s="417"/>
      <c r="F77" s="417"/>
      <c r="G77" s="417"/>
      <c r="H77" s="417"/>
      <c r="I77" s="417"/>
      <c r="J77" s="417"/>
      <c r="K77" s="417"/>
      <c r="L77" s="417"/>
      <c r="M77" s="417"/>
      <c r="N77" s="417"/>
      <c r="O77" s="417"/>
      <c r="P77" s="417"/>
      <c r="Q77" s="417"/>
      <c r="R77" s="417"/>
      <c r="S77" s="417"/>
      <c r="T77" s="417"/>
      <c r="U77" s="417"/>
      <c r="V77" s="417"/>
      <c r="W77" s="417"/>
      <c r="X77" s="417"/>
      <c r="Y77" s="417"/>
      <c r="Z77" s="417"/>
      <c r="AA77" s="417"/>
      <c r="AB77" s="417"/>
      <c r="AC77" s="417"/>
      <c r="AD77" s="417"/>
      <c r="AE77" s="418"/>
      <c r="AF77" s="151"/>
      <c r="AG77" s="151"/>
      <c r="AH77" s="148"/>
      <c r="AI77" s="148"/>
      <c r="AJ77" s="148"/>
      <c r="AK77" s="148"/>
      <c r="AL77" s="148"/>
      <c r="AM77" s="148"/>
      <c r="AQ77" s="126"/>
      <c r="AR77" s="126"/>
      <c r="AS77" s="126"/>
      <c r="AT77" s="126"/>
      <c r="BA77" s="113"/>
      <c r="BS77" s="4"/>
      <c r="BT77" s="5"/>
      <c r="BU77" s="5"/>
      <c r="BV77" s="6"/>
    </row>
    <row r="78" spans="2:74" ht="15.75">
      <c r="B78" s="153">
        <v>43399</v>
      </c>
      <c r="C78" s="416" t="s">
        <v>151</v>
      </c>
      <c r="D78" s="417"/>
      <c r="E78" s="417"/>
      <c r="F78" s="417"/>
      <c r="G78" s="417"/>
      <c r="H78" s="417"/>
      <c r="I78" s="417"/>
      <c r="J78" s="417"/>
      <c r="K78" s="417"/>
      <c r="L78" s="417"/>
      <c r="M78" s="417"/>
      <c r="N78" s="417"/>
      <c r="O78" s="417"/>
      <c r="P78" s="417"/>
      <c r="Q78" s="417"/>
      <c r="R78" s="417"/>
      <c r="S78" s="417"/>
      <c r="T78" s="417"/>
      <c r="U78" s="417"/>
      <c r="V78" s="417"/>
      <c r="W78" s="417"/>
      <c r="X78" s="417"/>
      <c r="Y78" s="417"/>
      <c r="Z78" s="417"/>
      <c r="AA78" s="417"/>
      <c r="AB78" s="417"/>
      <c r="AC78" s="417"/>
      <c r="AD78" s="417"/>
      <c r="AE78" s="418"/>
      <c r="AF78" s="151"/>
      <c r="AG78" s="151"/>
      <c r="AH78" s="148"/>
      <c r="AI78" s="148"/>
      <c r="AJ78" s="148"/>
      <c r="AK78" s="148"/>
      <c r="AL78" s="148"/>
      <c r="AM78" s="148"/>
      <c r="AQ78" s="126"/>
      <c r="AR78" s="126"/>
      <c r="AS78" s="126"/>
      <c r="AT78" s="126"/>
      <c r="BA78" s="113"/>
      <c r="BS78" s="4"/>
      <c r="BT78" s="5"/>
      <c r="BU78" s="5"/>
      <c r="BV78" s="6"/>
    </row>
    <row r="79" spans="2:74" ht="15.75">
      <c r="B79" s="153">
        <v>43400</v>
      </c>
      <c r="C79" s="416" t="s">
        <v>151</v>
      </c>
      <c r="D79" s="417"/>
      <c r="E79" s="417"/>
      <c r="F79" s="417"/>
      <c r="G79" s="417"/>
      <c r="H79" s="417"/>
      <c r="I79" s="417"/>
      <c r="J79" s="417"/>
      <c r="K79" s="417"/>
      <c r="L79" s="417"/>
      <c r="M79" s="417"/>
      <c r="N79" s="417"/>
      <c r="O79" s="417"/>
      <c r="P79" s="417"/>
      <c r="Q79" s="417"/>
      <c r="R79" s="417"/>
      <c r="S79" s="417"/>
      <c r="T79" s="417"/>
      <c r="U79" s="417"/>
      <c r="V79" s="417"/>
      <c r="W79" s="417"/>
      <c r="X79" s="417"/>
      <c r="Y79" s="417"/>
      <c r="Z79" s="417"/>
      <c r="AA79" s="417"/>
      <c r="AB79" s="417"/>
      <c r="AC79" s="417"/>
      <c r="AD79" s="417"/>
      <c r="AE79" s="418"/>
      <c r="AF79" s="151"/>
      <c r="AG79" s="151"/>
      <c r="AH79" s="148"/>
      <c r="AI79" s="148"/>
      <c r="AJ79" s="148"/>
      <c r="AK79" s="148"/>
      <c r="AL79" s="148"/>
      <c r="AM79" s="148"/>
      <c r="AQ79" s="126"/>
      <c r="AR79" s="126"/>
      <c r="AS79" s="126"/>
      <c r="AT79" s="126"/>
      <c r="BA79" s="113"/>
      <c r="BS79" s="4"/>
      <c r="BT79" s="5"/>
      <c r="BU79" s="5"/>
      <c r="BV79" s="6"/>
    </row>
    <row r="80" spans="2:74" ht="15.75">
      <c r="B80" s="153">
        <v>43401</v>
      </c>
      <c r="C80" s="416" t="s">
        <v>151</v>
      </c>
      <c r="D80" s="417"/>
      <c r="E80" s="417"/>
      <c r="F80" s="417"/>
      <c r="G80" s="417"/>
      <c r="H80" s="417"/>
      <c r="I80" s="417"/>
      <c r="J80" s="417"/>
      <c r="K80" s="417"/>
      <c r="L80" s="417"/>
      <c r="M80" s="417"/>
      <c r="N80" s="417"/>
      <c r="O80" s="417"/>
      <c r="P80" s="417"/>
      <c r="Q80" s="417"/>
      <c r="R80" s="417"/>
      <c r="S80" s="417"/>
      <c r="T80" s="417"/>
      <c r="U80" s="417"/>
      <c r="V80" s="417"/>
      <c r="W80" s="417"/>
      <c r="X80" s="417"/>
      <c r="Y80" s="417"/>
      <c r="Z80" s="417"/>
      <c r="AA80" s="417"/>
      <c r="AB80" s="417"/>
      <c r="AC80" s="417"/>
      <c r="AD80" s="417"/>
      <c r="AE80" s="418"/>
      <c r="AF80" s="151"/>
      <c r="AG80" s="151"/>
      <c r="AH80" s="148"/>
      <c r="AI80" s="148"/>
      <c r="AJ80" s="148"/>
      <c r="AK80" s="148"/>
      <c r="AL80" s="148"/>
      <c r="AM80" s="148"/>
      <c r="AQ80" s="126"/>
      <c r="AR80" s="126"/>
      <c r="AS80" s="126"/>
      <c r="AT80" s="126"/>
      <c r="BA80" s="113"/>
      <c r="BS80" s="4"/>
      <c r="BT80" s="5"/>
      <c r="BU80" s="5"/>
      <c r="BV80" s="6"/>
    </row>
    <row r="81" spans="2:74" ht="15.75">
      <c r="B81" s="153">
        <v>43402</v>
      </c>
      <c r="C81" s="416" t="s">
        <v>314</v>
      </c>
      <c r="D81" s="417"/>
      <c r="E81" s="417"/>
      <c r="F81" s="417"/>
      <c r="G81" s="417"/>
      <c r="H81" s="417"/>
      <c r="I81" s="417"/>
      <c r="J81" s="417"/>
      <c r="K81" s="417"/>
      <c r="L81" s="417"/>
      <c r="M81" s="417"/>
      <c r="N81" s="417"/>
      <c r="O81" s="417"/>
      <c r="P81" s="417"/>
      <c r="Q81" s="417"/>
      <c r="R81" s="417"/>
      <c r="S81" s="417"/>
      <c r="T81" s="417"/>
      <c r="U81" s="417"/>
      <c r="V81" s="417"/>
      <c r="W81" s="417"/>
      <c r="X81" s="417"/>
      <c r="Y81" s="417"/>
      <c r="Z81" s="417"/>
      <c r="AA81" s="417"/>
      <c r="AB81" s="417"/>
      <c r="AC81" s="417"/>
      <c r="AD81" s="417"/>
      <c r="AE81" s="418"/>
      <c r="AF81" s="151"/>
      <c r="AG81" s="151"/>
      <c r="AH81" s="148"/>
      <c r="AI81" s="148"/>
      <c r="AJ81" s="148"/>
      <c r="AK81" s="148"/>
      <c r="AL81" s="148"/>
      <c r="AM81" s="148"/>
      <c r="AQ81" s="126"/>
      <c r="AR81" s="126"/>
      <c r="AS81" s="126"/>
      <c r="AT81" s="126"/>
      <c r="BA81" s="113"/>
      <c r="BS81" s="4"/>
      <c r="BT81" s="5"/>
      <c r="BU81" s="5"/>
      <c r="BV81" s="6"/>
    </row>
    <row r="82" spans="2:74" ht="15.75">
      <c r="B82" s="153">
        <v>43403</v>
      </c>
      <c r="C82" s="416" t="s">
        <v>315</v>
      </c>
      <c r="D82" s="417"/>
      <c r="E82" s="417"/>
      <c r="F82" s="417"/>
      <c r="G82" s="417"/>
      <c r="H82" s="417"/>
      <c r="I82" s="417"/>
      <c r="J82" s="417"/>
      <c r="K82" s="417"/>
      <c r="L82" s="417"/>
      <c r="M82" s="417"/>
      <c r="N82" s="417"/>
      <c r="O82" s="417"/>
      <c r="P82" s="417"/>
      <c r="Q82" s="417"/>
      <c r="R82" s="417"/>
      <c r="S82" s="417"/>
      <c r="T82" s="417"/>
      <c r="U82" s="417"/>
      <c r="V82" s="417"/>
      <c r="W82" s="417"/>
      <c r="X82" s="417"/>
      <c r="Y82" s="417"/>
      <c r="Z82" s="417"/>
      <c r="AA82" s="417"/>
      <c r="AB82" s="417"/>
      <c r="AC82" s="417"/>
      <c r="AD82" s="417"/>
      <c r="AE82" s="418"/>
      <c r="AF82" s="151"/>
      <c r="AG82" s="151"/>
      <c r="AH82" s="148"/>
      <c r="AI82" s="148"/>
      <c r="AJ82" s="148"/>
      <c r="AK82" s="148"/>
      <c r="AL82" s="148"/>
      <c r="AM82" s="148"/>
      <c r="AQ82" s="126"/>
      <c r="AR82" s="126"/>
      <c r="AS82" s="126"/>
      <c r="AT82" s="126"/>
      <c r="BA82" s="113"/>
      <c r="BS82" s="4"/>
      <c r="BT82" s="5"/>
      <c r="BU82" s="5"/>
      <c r="BV82" s="6"/>
    </row>
    <row r="83" spans="2:74" ht="15.75">
      <c r="B83" s="153">
        <v>43404</v>
      </c>
      <c r="C83" s="416" t="s">
        <v>316</v>
      </c>
      <c r="D83" s="417"/>
      <c r="E83" s="417"/>
      <c r="F83" s="417"/>
      <c r="G83" s="417"/>
      <c r="H83" s="417"/>
      <c r="I83" s="417"/>
      <c r="J83" s="417"/>
      <c r="K83" s="417"/>
      <c r="L83" s="417"/>
      <c r="M83" s="417"/>
      <c r="N83" s="417"/>
      <c r="O83" s="417"/>
      <c r="P83" s="417"/>
      <c r="Q83" s="417"/>
      <c r="R83" s="417"/>
      <c r="S83" s="417"/>
      <c r="T83" s="417"/>
      <c r="U83" s="417"/>
      <c r="V83" s="417"/>
      <c r="W83" s="417"/>
      <c r="X83" s="417"/>
      <c r="Y83" s="417"/>
      <c r="Z83" s="417"/>
      <c r="AA83" s="417"/>
      <c r="AB83" s="417"/>
      <c r="AC83" s="417"/>
      <c r="AD83" s="417"/>
      <c r="AE83" s="418"/>
      <c r="AF83" s="151"/>
      <c r="AG83" s="151"/>
      <c r="AH83" s="148"/>
      <c r="AI83" s="148"/>
      <c r="AJ83" s="148"/>
      <c r="AK83" s="148"/>
      <c r="AL83" s="148"/>
      <c r="AM83" s="148"/>
      <c r="AQ83" s="126"/>
      <c r="AR83" s="126"/>
      <c r="AS83" s="126"/>
      <c r="AT83" s="126"/>
      <c r="BA83" s="113"/>
      <c r="BS83" s="4"/>
      <c r="BT83" s="5"/>
      <c r="BU83" s="5"/>
      <c r="BV83" s="6"/>
    </row>
    <row r="102" spans="9:18">
      <c r="L102">
        <f>15+(53/60)</f>
        <v>15.883333333333333</v>
      </c>
      <c r="M102">
        <f>L102-L103</f>
        <v>17.466666666666669</v>
      </c>
      <c r="N102">
        <f>M102*60</f>
        <v>1048</v>
      </c>
    </row>
    <row r="103" spans="9:18">
      <c r="I103">
        <v>23</v>
      </c>
      <c r="J103">
        <v>6</v>
      </c>
      <c r="K103">
        <f>I103+(J103/60)</f>
        <v>23.1</v>
      </c>
      <c r="L103">
        <f>K104-K103</f>
        <v>-1.5833333333333357</v>
      </c>
      <c r="M103">
        <f>L103-15</f>
        <v>-16.583333333333336</v>
      </c>
      <c r="N103">
        <f>M103*60</f>
        <v>-995.00000000000011</v>
      </c>
      <c r="R103">
        <f>54/60</f>
        <v>0.9</v>
      </c>
    </row>
    <row r="104" spans="9:18">
      <c r="I104">
        <v>21</v>
      </c>
      <c r="J104">
        <v>31</v>
      </c>
      <c r="K104">
        <f>I104+(J104/60)</f>
        <v>21.516666666666666</v>
      </c>
      <c r="L104">
        <f>L103-13</f>
        <v>-14.583333333333336</v>
      </c>
      <c r="M104">
        <f>L104*60</f>
        <v>-875.00000000000011</v>
      </c>
      <c r="R104">
        <f>R103*60</f>
        <v>54</v>
      </c>
    </row>
    <row r="106" spans="9:18">
      <c r="O106">
        <f>23.1-13.58</f>
        <v>9.5200000000000014</v>
      </c>
      <c r="P106">
        <f>O106-9</f>
        <v>0.52000000000000135</v>
      </c>
      <c r="Q106">
        <f>P106*60</f>
        <v>31.200000000000081</v>
      </c>
    </row>
  </sheetData>
  <mergeCells count="117">
    <mergeCell ref="C81:AE81"/>
    <mergeCell ref="C82:AE82"/>
    <mergeCell ref="C83:AE83"/>
    <mergeCell ref="C75:AE75"/>
    <mergeCell ref="C76:AE76"/>
    <mergeCell ref="C77:AE77"/>
    <mergeCell ref="C78:AE78"/>
    <mergeCell ref="C79:AE79"/>
    <mergeCell ref="C80:AE80"/>
    <mergeCell ref="C69:AE69"/>
    <mergeCell ref="C70:AE70"/>
    <mergeCell ref="C71:AE71"/>
    <mergeCell ref="C72:AE72"/>
    <mergeCell ref="C73:AE73"/>
    <mergeCell ref="C74:AE74"/>
    <mergeCell ref="C63:AE63"/>
    <mergeCell ref="C64:AE64"/>
    <mergeCell ref="C65:AE65"/>
    <mergeCell ref="C66:AE66"/>
    <mergeCell ref="C67:AE67"/>
    <mergeCell ref="C68:AE68"/>
    <mergeCell ref="C57:AE57"/>
    <mergeCell ref="C58:AE58"/>
    <mergeCell ref="C59:AE59"/>
    <mergeCell ref="C60:AE60"/>
    <mergeCell ref="C61:AE61"/>
    <mergeCell ref="C62:AE62"/>
    <mergeCell ref="P44:Q44"/>
    <mergeCell ref="C52:AE52"/>
    <mergeCell ref="C53:AE53"/>
    <mergeCell ref="C54:AE54"/>
    <mergeCell ref="C55:AE55"/>
    <mergeCell ref="C56:AE56"/>
    <mergeCell ref="A34:A40"/>
    <mergeCell ref="F44:G44"/>
    <mergeCell ref="H44:I44"/>
    <mergeCell ref="J44:K44"/>
    <mergeCell ref="L44:M44"/>
    <mergeCell ref="N44:O44"/>
    <mergeCell ref="BO4:BO5"/>
    <mergeCell ref="BW4:BW5"/>
    <mergeCell ref="A6:A12"/>
    <mergeCell ref="A13:A19"/>
    <mergeCell ref="A20:A26"/>
    <mergeCell ref="A27:A33"/>
    <mergeCell ref="BM4:BM5"/>
    <mergeCell ref="BN4:BN5"/>
    <mergeCell ref="AW3:AW5"/>
    <mergeCell ref="AX3:AX5"/>
    <mergeCell ref="AY3:AY5"/>
    <mergeCell ref="AZ3:AZ5"/>
    <mergeCell ref="BB3:BB5"/>
    <mergeCell ref="BC3:BC5"/>
    <mergeCell ref="AP3:AP5"/>
    <mergeCell ref="AQ3:AQ5"/>
    <mergeCell ref="AR3:AR5"/>
    <mergeCell ref="AT3:AT5"/>
    <mergeCell ref="CA3:CA5"/>
    <mergeCell ref="CB3:CB5"/>
    <mergeCell ref="CD3:CE3"/>
    <mergeCell ref="CF3:CG3"/>
    <mergeCell ref="H4:I4"/>
    <mergeCell ref="J4:K4"/>
    <mergeCell ref="L4:M4"/>
    <mergeCell ref="N4:O4"/>
    <mergeCell ref="BH4:BH5"/>
    <mergeCell ref="BI4:BI5"/>
    <mergeCell ref="BQ3:BQ5"/>
    <mergeCell ref="BR3:BR5"/>
    <mergeCell ref="BT3:BT5"/>
    <mergeCell ref="BU3:BU5"/>
    <mergeCell ref="BX3:BX5"/>
    <mergeCell ref="BY3:BY5"/>
    <mergeCell ref="BD3:BD5"/>
    <mergeCell ref="BE3:BE5"/>
    <mergeCell ref="BF3:BF5"/>
    <mergeCell ref="BG3:BG5"/>
    <mergeCell ref="BL3:BM3"/>
    <mergeCell ref="BP3:BP5"/>
    <mergeCell ref="BK4:BK5"/>
    <mergeCell ref="BL4:BL5"/>
    <mergeCell ref="AU3:AU5"/>
    <mergeCell ref="AV3:AV5"/>
    <mergeCell ref="AJ3:AJ5"/>
    <mergeCell ref="AK3:AK5"/>
    <mergeCell ref="AL3:AL5"/>
    <mergeCell ref="AM3:AM5"/>
    <mergeCell ref="AN3:AN5"/>
    <mergeCell ref="AO3:AO5"/>
    <mergeCell ref="AD3:AD5"/>
    <mergeCell ref="AE3:AE5"/>
    <mergeCell ref="AF3:AF5"/>
    <mergeCell ref="AG3:AG5"/>
    <mergeCell ref="AH3:AH5"/>
    <mergeCell ref="AI3:AI5"/>
    <mergeCell ref="B1:Y1"/>
    <mergeCell ref="B2:AG2"/>
    <mergeCell ref="B3:B5"/>
    <mergeCell ref="C3:C5"/>
    <mergeCell ref="D3:D5"/>
    <mergeCell ref="E3:E5"/>
    <mergeCell ref="F3:G4"/>
    <mergeCell ref="H3:K3"/>
    <mergeCell ref="L3:O3"/>
    <mergeCell ref="P3:Q4"/>
    <mergeCell ref="X3:X5"/>
    <mergeCell ref="Y3:Y5"/>
    <mergeCell ref="Z3:Z5"/>
    <mergeCell ref="AA3:AA5"/>
    <mergeCell ref="AB3:AB5"/>
    <mergeCell ref="AC3:AC5"/>
    <mergeCell ref="R3:R5"/>
    <mergeCell ref="S3:S5"/>
    <mergeCell ref="T3:T5"/>
    <mergeCell ref="U3:U5"/>
    <mergeCell ref="V3:V5"/>
    <mergeCell ref="W3:W5"/>
  </mergeCells>
  <conditionalFormatting sqref="R13:T15">
    <cfRule type="cellIs" dxfId="2" priority="1" stopIfTrue="1" operator="greaterThan">
      <formula>3768</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CG105"/>
  <sheetViews>
    <sheetView zoomScaleNormal="100" workbookViewId="0">
      <pane xSplit="2" ySplit="5" topLeftCell="V24" activePane="bottomRight" state="frozen"/>
      <selection pane="topRight" activeCell="C1" sqref="C1"/>
      <selection pane="bottomLeft" activeCell="A6" sqref="A6"/>
      <selection pane="bottomRight" activeCell="AD38" sqref="AD38"/>
    </sheetView>
  </sheetViews>
  <sheetFormatPr defaultRowHeight="15"/>
  <cols>
    <col min="2" max="2" width="9.42578125" bestFit="1" customWidth="1"/>
    <col min="3" max="4" width="9.28515625" bestFit="1" customWidth="1"/>
    <col min="5" max="5" width="9.42578125" bestFit="1" customWidth="1"/>
    <col min="6" max="21" width="9.28515625" bestFit="1" customWidth="1"/>
    <col min="22" max="22" width="9.5703125" customWidth="1"/>
    <col min="23" max="23" width="9.28515625" bestFit="1" customWidth="1"/>
    <col min="24" max="24" width="9.85546875" bestFit="1" customWidth="1"/>
    <col min="25" max="25" width="9.28515625" customWidth="1"/>
    <col min="37" max="37" width="10.85546875" customWidth="1"/>
    <col min="39" max="39" width="11" customWidth="1"/>
    <col min="40" max="40" width="10.5703125" customWidth="1"/>
    <col min="41" max="41" width="9.42578125" customWidth="1"/>
    <col min="42" max="42" width="11.5703125" customWidth="1"/>
    <col min="66" max="66" width="9.5703125" bestFit="1" customWidth="1"/>
    <col min="79" max="79" width="12.42578125" customWidth="1"/>
    <col min="80" max="80" width="12" customWidth="1"/>
    <col min="81" max="81" width="8.28515625" customWidth="1"/>
    <col min="82" max="82" width="10" customWidth="1"/>
  </cols>
  <sheetData>
    <row r="1" spans="1:85" ht="18">
      <c r="B1" s="489" t="s">
        <v>0</v>
      </c>
      <c r="C1" s="489"/>
      <c r="D1" s="489"/>
      <c r="E1" s="489"/>
      <c r="F1" s="489"/>
      <c r="G1" s="489"/>
      <c r="H1" s="489"/>
      <c r="I1" s="489"/>
      <c r="J1" s="489"/>
      <c r="K1" s="489"/>
      <c r="L1" s="489"/>
      <c r="M1" s="489"/>
      <c r="N1" s="489"/>
      <c r="O1" s="489"/>
      <c r="P1" s="489"/>
      <c r="Q1" s="489"/>
      <c r="R1" s="489"/>
      <c r="S1" s="489"/>
      <c r="T1" s="489"/>
      <c r="U1" s="489"/>
      <c r="V1" s="489"/>
      <c r="W1" s="489"/>
      <c r="X1" s="489"/>
      <c r="Y1" s="489"/>
      <c r="Z1" s="1"/>
      <c r="AA1" s="2"/>
      <c r="AB1" s="2"/>
      <c r="AC1" s="2"/>
      <c r="AD1" s="2"/>
      <c r="AE1" s="3"/>
      <c r="AF1" s="3"/>
      <c r="AG1" s="3"/>
      <c r="AH1" s="3"/>
      <c r="AI1" s="3"/>
      <c r="AJ1" s="3"/>
      <c r="AK1" s="3"/>
      <c r="AL1" s="3"/>
      <c r="AM1" s="3"/>
      <c r="AS1" s="4"/>
      <c r="BA1" s="4"/>
      <c r="BS1" s="4"/>
      <c r="BT1" s="5"/>
      <c r="BU1" s="5"/>
      <c r="BV1" s="6"/>
    </row>
    <row r="2" spans="1:85" ht="18.75" thickBot="1">
      <c r="B2" s="490">
        <v>43405</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7"/>
      <c r="AI2" s="7"/>
      <c r="AJ2" s="7"/>
      <c r="AK2" s="8"/>
      <c r="AL2" s="8"/>
      <c r="AM2" s="8"/>
      <c r="AN2" s="8"/>
      <c r="AO2" s="8"/>
      <c r="AP2" s="8"/>
      <c r="AQ2" s="8"/>
      <c r="AR2" s="8"/>
      <c r="AS2" s="9"/>
      <c r="AT2" s="10"/>
      <c r="AU2" s="10"/>
      <c r="AV2" s="10"/>
      <c r="AW2" s="10"/>
      <c r="AX2" s="10"/>
      <c r="AY2" s="11"/>
      <c r="AZ2" s="11"/>
      <c r="BA2" s="4"/>
      <c r="BS2" s="4"/>
      <c r="BT2" s="5"/>
      <c r="BU2" s="5"/>
      <c r="BV2" s="6"/>
    </row>
    <row r="3" spans="1:85" ht="30.75" thickBot="1">
      <c r="A3" s="12"/>
      <c r="B3" s="491" t="s">
        <v>1</v>
      </c>
      <c r="C3" s="442" t="s">
        <v>2</v>
      </c>
      <c r="D3" s="494" t="s">
        <v>3</v>
      </c>
      <c r="E3" s="442" t="s">
        <v>130</v>
      </c>
      <c r="F3" s="497" t="s">
        <v>4</v>
      </c>
      <c r="G3" s="498"/>
      <c r="H3" s="477" t="s">
        <v>5</v>
      </c>
      <c r="I3" s="501"/>
      <c r="J3" s="501"/>
      <c r="K3" s="480"/>
      <c r="L3" s="477" t="s">
        <v>6</v>
      </c>
      <c r="M3" s="501"/>
      <c r="N3" s="501"/>
      <c r="O3" s="480"/>
      <c r="P3" s="502" t="s">
        <v>7</v>
      </c>
      <c r="Q3" s="503"/>
      <c r="R3" s="506" t="s">
        <v>8</v>
      </c>
      <c r="S3" s="422" t="s">
        <v>9</v>
      </c>
      <c r="T3" s="425" t="s">
        <v>10</v>
      </c>
      <c r="U3" s="433" t="s">
        <v>11</v>
      </c>
      <c r="V3" s="436" t="s">
        <v>12</v>
      </c>
      <c r="W3" s="439" t="s">
        <v>13</v>
      </c>
      <c r="X3" s="439" t="s">
        <v>14</v>
      </c>
      <c r="Y3" s="439" t="s">
        <v>15</v>
      </c>
      <c r="Z3" s="439" t="s">
        <v>16</v>
      </c>
      <c r="AA3" s="439" t="s">
        <v>17</v>
      </c>
      <c r="AB3" s="439" t="s">
        <v>18</v>
      </c>
      <c r="AC3" s="515" t="s">
        <v>19</v>
      </c>
      <c r="AD3" s="512" t="s">
        <v>20</v>
      </c>
      <c r="AE3" s="509" t="s">
        <v>21</v>
      </c>
      <c r="AF3" s="512" t="s">
        <v>22</v>
      </c>
      <c r="AG3" s="465" t="s">
        <v>23</v>
      </c>
      <c r="AH3" s="465" t="s">
        <v>24</v>
      </c>
      <c r="AI3" s="465" t="s">
        <v>25</v>
      </c>
      <c r="AJ3" s="468" t="s">
        <v>26</v>
      </c>
      <c r="AK3" s="518" t="s">
        <v>27</v>
      </c>
      <c r="AL3" s="419" t="s">
        <v>28</v>
      </c>
      <c r="AM3" s="468" t="s">
        <v>29</v>
      </c>
      <c r="AN3" s="419" t="s">
        <v>30</v>
      </c>
      <c r="AO3" s="419" t="s">
        <v>31</v>
      </c>
      <c r="AP3" s="468" t="s">
        <v>32</v>
      </c>
      <c r="AQ3" s="471" t="s">
        <v>33</v>
      </c>
      <c r="AR3" s="459" t="s">
        <v>34</v>
      </c>
      <c r="AS3" s="13"/>
      <c r="AT3" s="462" t="s">
        <v>35</v>
      </c>
      <c r="AU3" s="447" t="s">
        <v>36</v>
      </c>
      <c r="AV3" s="447" t="s">
        <v>37</v>
      </c>
      <c r="AW3" s="447" t="s">
        <v>38</v>
      </c>
      <c r="AX3" s="447" t="s">
        <v>39</v>
      </c>
      <c r="AY3" s="447" t="s">
        <v>40</v>
      </c>
      <c r="AZ3" s="447" t="s">
        <v>41</v>
      </c>
      <c r="BA3" s="4"/>
      <c r="BB3" s="447" t="s">
        <v>42</v>
      </c>
      <c r="BC3" s="447" t="s">
        <v>43</v>
      </c>
      <c r="BD3" s="447" t="s">
        <v>44</v>
      </c>
      <c r="BE3" s="447" t="s">
        <v>45</v>
      </c>
      <c r="BF3" s="447" t="s">
        <v>46</v>
      </c>
      <c r="BG3" s="447" t="s">
        <v>47</v>
      </c>
      <c r="BH3" s="14" t="s">
        <v>48</v>
      </c>
      <c r="BI3" s="14" t="s">
        <v>49</v>
      </c>
      <c r="BJ3" s="14" t="s">
        <v>50</v>
      </c>
      <c r="BK3" s="14" t="s">
        <v>51</v>
      </c>
      <c r="BL3" s="445" t="s">
        <v>52</v>
      </c>
      <c r="BM3" s="446"/>
      <c r="BN3" s="14" t="s">
        <v>53</v>
      </c>
      <c r="BO3" s="14" t="s">
        <v>54</v>
      </c>
      <c r="BP3" s="447" t="s">
        <v>55</v>
      </c>
      <c r="BQ3" s="484" t="s">
        <v>56</v>
      </c>
      <c r="BR3" s="484" t="s">
        <v>57</v>
      </c>
      <c r="BS3" s="15"/>
      <c r="BT3" s="481" t="s">
        <v>58</v>
      </c>
      <c r="BU3" s="481" t="s">
        <v>59</v>
      </c>
      <c r="BV3" s="6"/>
      <c r="BW3" s="14" t="s">
        <v>60</v>
      </c>
      <c r="BX3" s="447" t="s">
        <v>61</v>
      </c>
      <c r="BY3" s="447" t="s">
        <v>62</v>
      </c>
      <c r="CA3" s="474" t="s">
        <v>63</v>
      </c>
      <c r="CB3" s="474" t="s">
        <v>64</v>
      </c>
      <c r="CD3" s="487" t="s">
        <v>124</v>
      </c>
      <c r="CE3" s="488"/>
      <c r="CF3" s="487" t="s">
        <v>128</v>
      </c>
      <c r="CG3" s="488"/>
    </row>
    <row r="4" spans="1:85" ht="26.25" thickBot="1">
      <c r="A4" s="16"/>
      <c r="B4" s="492"/>
      <c r="C4" s="443"/>
      <c r="D4" s="495"/>
      <c r="E4" s="443"/>
      <c r="F4" s="499"/>
      <c r="G4" s="500"/>
      <c r="H4" s="477" t="s">
        <v>65</v>
      </c>
      <c r="I4" s="478"/>
      <c r="J4" s="479" t="s">
        <v>66</v>
      </c>
      <c r="K4" s="480"/>
      <c r="L4" s="477" t="s">
        <v>65</v>
      </c>
      <c r="M4" s="478"/>
      <c r="N4" s="479" t="s">
        <v>66</v>
      </c>
      <c r="O4" s="480"/>
      <c r="P4" s="504"/>
      <c r="Q4" s="505"/>
      <c r="R4" s="507"/>
      <c r="S4" s="423"/>
      <c r="T4" s="426"/>
      <c r="U4" s="434"/>
      <c r="V4" s="437"/>
      <c r="W4" s="440"/>
      <c r="X4" s="440"/>
      <c r="Y4" s="440"/>
      <c r="Z4" s="440"/>
      <c r="AA4" s="440"/>
      <c r="AB4" s="440"/>
      <c r="AC4" s="516"/>
      <c r="AD4" s="513"/>
      <c r="AE4" s="510"/>
      <c r="AF4" s="513"/>
      <c r="AG4" s="466"/>
      <c r="AH4" s="466"/>
      <c r="AI4" s="466"/>
      <c r="AJ4" s="469"/>
      <c r="AK4" s="519"/>
      <c r="AL4" s="420"/>
      <c r="AM4" s="469"/>
      <c r="AN4" s="420"/>
      <c r="AO4" s="420"/>
      <c r="AP4" s="469"/>
      <c r="AQ4" s="472"/>
      <c r="AR4" s="460"/>
      <c r="AS4" s="13"/>
      <c r="AT4" s="463"/>
      <c r="AU4" s="440"/>
      <c r="AV4" s="440"/>
      <c r="AW4" s="440"/>
      <c r="AX4" s="440"/>
      <c r="AY4" s="440"/>
      <c r="AZ4" s="440"/>
      <c r="BA4" s="4"/>
      <c r="BB4" s="440"/>
      <c r="BC4" s="440"/>
      <c r="BD4" s="440"/>
      <c r="BE4" s="440"/>
      <c r="BF4" s="440"/>
      <c r="BG4" s="440"/>
      <c r="BH4" s="457" t="s">
        <v>67</v>
      </c>
      <c r="BI4" s="457" t="s">
        <v>67</v>
      </c>
      <c r="BJ4" s="17" t="s">
        <v>68</v>
      </c>
      <c r="BK4" s="449" t="s">
        <v>69</v>
      </c>
      <c r="BL4" s="449" t="s">
        <v>69</v>
      </c>
      <c r="BM4" s="449" t="s">
        <v>70</v>
      </c>
      <c r="BN4" s="457" t="s">
        <v>71</v>
      </c>
      <c r="BO4" s="457" t="s">
        <v>72</v>
      </c>
      <c r="BP4" s="440"/>
      <c r="BQ4" s="485"/>
      <c r="BR4" s="485"/>
      <c r="BS4" s="15"/>
      <c r="BT4" s="482"/>
      <c r="BU4" s="482"/>
      <c r="BV4" s="6"/>
      <c r="BW4" s="457" t="s">
        <v>67</v>
      </c>
      <c r="BX4" s="440"/>
      <c r="BY4" s="440"/>
      <c r="CA4" s="475"/>
      <c r="CB4" s="475"/>
      <c r="CD4" s="211" t="s">
        <v>129</v>
      </c>
      <c r="CE4" s="210" t="s">
        <v>125</v>
      </c>
      <c r="CF4" s="211" t="s">
        <v>129</v>
      </c>
      <c r="CG4" s="210" t="s">
        <v>125</v>
      </c>
    </row>
    <row r="5" spans="1:85" ht="15.75" thickBot="1">
      <c r="A5" s="16"/>
      <c r="B5" s="493"/>
      <c r="C5" s="444"/>
      <c r="D5" s="496"/>
      <c r="E5" s="444"/>
      <c r="F5" s="18" t="s">
        <v>73</v>
      </c>
      <c r="G5" s="19" t="s">
        <v>74</v>
      </c>
      <c r="H5" s="390" t="s">
        <v>75</v>
      </c>
      <c r="I5" s="21" t="s">
        <v>76</v>
      </c>
      <c r="J5" s="21" t="s">
        <v>75</v>
      </c>
      <c r="K5" s="391" t="s">
        <v>76</v>
      </c>
      <c r="L5" s="23" t="s">
        <v>75</v>
      </c>
      <c r="M5" s="21" t="s">
        <v>76</v>
      </c>
      <c r="N5" s="21" t="s">
        <v>75</v>
      </c>
      <c r="O5" s="19" t="s">
        <v>76</v>
      </c>
      <c r="P5" s="21" t="s">
        <v>75</v>
      </c>
      <c r="Q5" s="19" t="s">
        <v>76</v>
      </c>
      <c r="R5" s="508"/>
      <c r="S5" s="424"/>
      <c r="T5" s="427"/>
      <c r="U5" s="435"/>
      <c r="V5" s="438"/>
      <c r="W5" s="441"/>
      <c r="X5" s="441"/>
      <c r="Y5" s="441"/>
      <c r="Z5" s="441"/>
      <c r="AA5" s="441"/>
      <c r="AB5" s="441"/>
      <c r="AC5" s="517"/>
      <c r="AD5" s="514"/>
      <c r="AE5" s="511"/>
      <c r="AF5" s="514"/>
      <c r="AG5" s="467"/>
      <c r="AH5" s="467"/>
      <c r="AI5" s="467"/>
      <c r="AJ5" s="470"/>
      <c r="AK5" s="520"/>
      <c r="AL5" s="421"/>
      <c r="AM5" s="470"/>
      <c r="AN5" s="421"/>
      <c r="AO5" s="421"/>
      <c r="AP5" s="470"/>
      <c r="AQ5" s="473"/>
      <c r="AR5" s="461"/>
      <c r="AS5" s="13"/>
      <c r="AT5" s="464"/>
      <c r="AU5" s="448"/>
      <c r="AV5" s="448"/>
      <c r="AW5" s="448"/>
      <c r="AX5" s="448"/>
      <c r="AY5" s="448"/>
      <c r="AZ5" s="448"/>
      <c r="BA5" s="4"/>
      <c r="BB5" s="448"/>
      <c r="BC5" s="448"/>
      <c r="BD5" s="448"/>
      <c r="BE5" s="448"/>
      <c r="BF5" s="448"/>
      <c r="BG5" s="448"/>
      <c r="BH5" s="458"/>
      <c r="BI5" s="458"/>
      <c r="BJ5" s="17" t="s">
        <v>77</v>
      </c>
      <c r="BK5" s="450"/>
      <c r="BL5" s="450"/>
      <c r="BM5" s="450"/>
      <c r="BN5" s="458"/>
      <c r="BO5" s="458"/>
      <c r="BP5" s="448"/>
      <c r="BQ5" s="486"/>
      <c r="BR5" s="486"/>
      <c r="BS5" s="15"/>
      <c r="BT5" s="483"/>
      <c r="BU5" s="483"/>
      <c r="BV5" s="6"/>
      <c r="BW5" s="458"/>
      <c r="BX5" s="448"/>
      <c r="BY5" s="448"/>
      <c r="CA5" s="476"/>
      <c r="CB5" s="476"/>
      <c r="CD5" s="213" t="s">
        <v>126</v>
      </c>
      <c r="CE5" s="212" t="s">
        <v>127</v>
      </c>
      <c r="CF5" s="213" t="s">
        <v>126</v>
      </c>
      <c r="CG5" s="212" t="s">
        <v>127</v>
      </c>
    </row>
    <row r="6" spans="1:85" ht="12.75" customHeight="1">
      <c r="A6" s="451" t="s">
        <v>301</v>
      </c>
      <c r="B6" s="24">
        <v>43402</v>
      </c>
      <c r="C6" s="25">
        <v>78.290000000000006</v>
      </c>
      <c r="D6" s="26">
        <v>0.55779999999999996</v>
      </c>
      <c r="E6" s="38">
        <v>62.17</v>
      </c>
      <c r="F6" s="27">
        <v>92</v>
      </c>
      <c r="G6" s="27">
        <v>69</v>
      </c>
      <c r="H6" s="28">
        <v>18</v>
      </c>
      <c r="I6" s="28">
        <v>35</v>
      </c>
      <c r="J6" s="28">
        <v>24</v>
      </c>
      <c r="K6" s="28">
        <v>0</v>
      </c>
      <c r="L6" s="29">
        <v>4</v>
      </c>
      <c r="M6" s="29">
        <v>32</v>
      </c>
      <c r="N6" s="29">
        <v>0</v>
      </c>
      <c r="O6" s="29">
        <v>0</v>
      </c>
      <c r="P6" s="29">
        <v>18</v>
      </c>
      <c r="Q6" s="29">
        <v>24</v>
      </c>
      <c r="R6" s="29">
        <v>3610</v>
      </c>
      <c r="S6" s="30">
        <v>3550</v>
      </c>
      <c r="T6" s="30">
        <v>3159</v>
      </c>
      <c r="U6" s="31">
        <v>3109</v>
      </c>
      <c r="V6" s="31">
        <v>3209</v>
      </c>
      <c r="W6" s="28">
        <v>43</v>
      </c>
      <c r="X6" s="28">
        <v>0</v>
      </c>
      <c r="Y6" s="28">
        <v>46</v>
      </c>
      <c r="Z6" s="28">
        <v>0</v>
      </c>
      <c r="AA6" s="28">
        <v>60</v>
      </c>
      <c r="AB6" s="27">
        <v>0</v>
      </c>
      <c r="AC6" s="32">
        <f>V6-U6+AZ6</f>
        <v>100</v>
      </c>
      <c r="AD6" s="33">
        <f t="shared" ref="AD6:AD12" si="0">U6-T6</f>
        <v>-50</v>
      </c>
      <c r="AE6" s="27">
        <v>150</v>
      </c>
      <c r="AF6" s="34">
        <f t="shared" ref="AF6:AF12" si="1">IF(AE6&gt;0, V6/(AE6*24),"no data")</f>
        <v>0.8913888888888889</v>
      </c>
      <c r="AG6" s="35">
        <f t="shared" ref="AG6:AG12" si="2">IF(R6&gt;0,R6/24,"no data")</f>
        <v>150.41666666666666</v>
      </c>
      <c r="AH6" s="34">
        <f t="shared" ref="AH6:AH12" si="3">IF(U6&gt;0,(U6/R6),"no data")</f>
        <v>0.8612188365650969</v>
      </c>
      <c r="AI6" s="36">
        <f t="shared" ref="AI6:AI12" si="4">(1440-((W6*X6)+(Y6*Z6)+(AA6*AB6))/(W6+Y6+AA6))/1440</f>
        <v>1</v>
      </c>
      <c r="AJ6" s="37">
        <f t="shared" ref="AJ6:AJ12" si="5">IF(U6&gt;0,(1440-((X6*W6+AT6*AU6)+(Z6*Y6+AV6*AW6)+(AA6*AB6+AX6*AY6))/(W6+Y6+AA6))/1440,"no data")</f>
        <v>0.95013982102908268</v>
      </c>
      <c r="AK6" s="235">
        <v>7.6139999999999999</v>
      </c>
      <c r="AL6" s="235">
        <v>163.53</v>
      </c>
      <c r="AM6" s="38">
        <f t="shared" ref="AM6:AM12" si="6">AK6*AL6</f>
        <v>1245.11742</v>
      </c>
      <c r="AN6" s="235">
        <v>26.228000000000002</v>
      </c>
      <c r="AO6" s="380">
        <v>994.01</v>
      </c>
      <c r="AP6" s="39">
        <f t="shared" ref="AP6:AP12" si="7">AN6*AO6</f>
        <v>26070.89428</v>
      </c>
      <c r="AQ6" s="201">
        <f t="shared" ref="AQ6:AQ12" si="8">IF(U6&gt;0,((((AK6*AL6)+(AN6*AO6))/(U6*1000))*1000000),"no data")</f>
        <v>8786.1086201350918</v>
      </c>
      <c r="AR6" s="198">
        <f t="shared" ref="AR6:AR12" si="9">S6/24</f>
        <v>147.91666666666666</v>
      </c>
      <c r="AS6" s="13"/>
      <c r="AT6" s="27">
        <v>18</v>
      </c>
      <c r="AU6" s="40">
        <v>53</v>
      </c>
      <c r="AV6" s="40">
        <v>0</v>
      </c>
      <c r="AW6" s="27">
        <v>0</v>
      </c>
      <c r="AX6" s="40">
        <v>29</v>
      </c>
      <c r="AY6" s="27">
        <v>336</v>
      </c>
      <c r="AZ6" s="27">
        <v>0</v>
      </c>
      <c r="BA6" s="4"/>
      <c r="BB6" s="41">
        <v>818</v>
      </c>
      <c r="BC6" s="41">
        <v>1095</v>
      </c>
      <c r="BD6" s="41">
        <v>1296</v>
      </c>
      <c r="BE6" s="41">
        <f t="shared" ref="BE6:BE11" si="10">BC6-BB6</f>
        <v>277</v>
      </c>
      <c r="BF6" s="41">
        <f t="shared" ref="BF6:BF12" si="11">AQ6</f>
        <v>8786.1086201350918</v>
      </c>
      <c r="BG6" s="77">
        <f t="shared" ref="BG6:BG12" si="12">BD6/24</f>
        <v>54</v>
      </c>
      <c r="BH6" s="43">
        <v>1.627</v>
      </c>
      <c r="BI6" s="44">
        <v>2.1520000000000001</v>
      </c>
      <c r="BJ6" s="45">
        <v>29.95</v>
      </c>
      <c r="BK6" s="45">
        <v>25.83</v>
      </c>
      <c r="BL6" s="46">
        <v>22.05</v>
      </c>
      <c r="BM6" s="45">
        <v>26.55</v>
      </c>
      <c r="BN6" s="47">
        <v>1003.08</v>
      </c>
      <c r="BO6" s="45">
        <v>50.06</v>
      </c>
      <c r="BP6" s="48">
        <v>0.92149999999999999</v>
      </c>
      <c r="BQ6" s="52">
        <v>96.08</v>
      </c>
      <c r="BR6" s="45">
        <v>86.6</v>
      </c>
      <c r="BS6" s="49">
        <f t="shared" ref="BS6:BS12" si="13">BR6-BQ6</f>
        <v>-9.480000000000004</v>
      </c>
      <c r="BT6" s="41">
        <v>11780</v>
      </c>
      <c r="BU6" s="41">
        <v>11399</v>
      </c>
      <c r="BV6" s="51">
        <f t="shared" ref="BV6:BV12" si="14">BU6-BT6</f>
        <v>-381</v>
      </c>
      <c r="BW6" s="41">
        <f t="shared" ref="BW6:BW12" si="15">BH6+BI6</f>
        <v>3.7789999999999999</v>
      </c>
      <c r="BX6" s="42">
        <v>18.783333333333331</v>
      </c>
      <c r="BY6" s="42">
        <v>24</v>
      </c>
      <c r="CA6" s="42">
        <v>18.43</v>
      </c>
      <c r="CB6" s="42">
        <v>7.48</v>
      </c>
      <c r="CD6" s="42">
        <v>2.1</v>
      </c>
      <c r="CE6" s="42">
        <v>4.8</v>
      </c>
      <c r="CF6" s="42">
        <v>2.1</v>
      </c>
      <c r="CG6" s="42">
        <v>-0.8</v>
      </c>
    </row>
    <row r="7" spans="1:85">
      <c r="A7" s="452"/>
      <c r="B7" s="24">
        <v>43403</v>
      </c>
      <c r="C7" s="25">
        <v>77.8</v>
      </c>
      <c r="D7" s="26">
        <v>0.58199999999999996</v>
      </c>
      <c r="E7" s="38">
        <v>62.9</v>
      </c>
      <c r="F7" s="27">
        <v>91</v>
      </c>
      <c r="G7" s="27">
        <v>68</v>
      </c>
      <c r="H7" s="28">
        <v>14</v>
      </c>
      <c r="I7" s="28">
        <v>56</v>
      </c>
      <c r="J7" s="28">
        <v>24</v>
      </c>
      <c r="K7" s="28">
        <v>0</v>
      </c>
      <c r="L7" s="29">
        <v>8</v>
      </c>
      <c r="M7" s="29">
        <v>15</v>
      </c>
      <c r="N7" s="29">
        <v>0</v>
      </c>
      <c r="O7" s="29">
        <v>0</v>
      </c>
      <c r="P7" s="29">
        <v>14</v>
      </c>
      <c r="Q7" s="29">
        <v>52</v>
      </c>
      <c r="R7" s="29">
        <v>3618</v>
      </c>
      <c r="S7" s="30">
        <v>3538</v>
      </c>
      <c r="T7" s="30">
        <v>2873</v>
      </c>
      <c r="U7" s="31">
        <v>2824</v>
      </c>
      <c r="V7" s="31">
        <v>2921</v>
      </c>
      <c r="W7" s="28">
        <v>43</v>
      </c>
      <c r="X7" s="28">
        <v>0</v>
      </c>
      <c r="Y7" s="28">
        <v>46</v>
      </c>
      <c r="Z7" s="28">
        <v>0</v>
      </c>
      <c r="AA7" s="28">
        <v>60</v>
      </c>
      <c r="AB7" s="27">
        <v>0</v>
      </c>
      <c r="AC7" s="32">
        <v>97</v>
      </c>
      <c r="AD7" s="33">
        <f t="shared" si="0"/>
        <v>-49</v>
      </c>
      <c r="AE7" s="27">
        <v>151</v>
      </c>
      <c r="AF7" s="34">
        <f t="shared" si="1"/>
        <v>0.80601545253863138</v>
      </c>
      <c r="AG7" s="35">
        <f t="shared" si="2"/>
        <v>150.75</v>
      </c>
      <c r="AH7" s="34">
        <f t="shared" si="3"/>
        <v>0.78054173576561636</v>
      </c>
      <c r="AI7" s="36">
        <f t="shared" si="4"/>
        <v>1</v>
      </c>
      <c r="AJ7" s="37">
        <f t="shared" si="5"/>
        <v>0.92198918717375089</v>
      </c>
      <c r="AK7" s="235">
        <v>7.65</v>
      </c>
      <c r="AL7" s="235">
        <v>165.15</v>
      </c>
      <c r="AM7" s="38">
        <f t="shared" si="6"/>
        <v>1263.3975</v>
      </c>
      <c r="AN7" s="235">
        <v>23.763000000000002</v>
      </c>
      <c r="AO7" s="380">
        <v>990.11</v>
      </c>
      <c r="AP7" s="39">
        <f t="shared" si="7"/>
        <v>23527.983930000002</v>
      </c>
      <c r="AQ7" s="201">
        <f t="shared" si="8"/>
        <v>8778.817786827196</v>
      </c>
      <c r="AR7" s="198">
        <f t="shared" si="9"/>
        <v>147.41666666666666</v>
      </c>
      <c r="AS7" s="13"/>
      <c r="AT7" s="27">
        <v>18</v>
      </c>
      <c r="AU7" s="40">
        <v>47</v>
      </c>
      <c r="AV7" s="40">
        <v>0</v>
      </c>
      <c r="AW7" s="27">
        <v>0</v>
      </c>
      <c r="AX7" s="40">
        <v>29</v>
      </c>
      <c r="AY7" s="27">
        <v>548</v>
      </c>
      <c r="AZ7" s="27">
        <v>0</v>
      </c>
      <c r="BA7" s="4"/>
      <c r="BB7" s="41">
        <v>661</v>
      </c>
      <c r="BC7" s="41">
        <v>1091</v>
      </c>
      <c r="BD7" s="41">
        <v>1169</v>
      </c>
      <c r="BE7" s="41">
        <f t="shared" si="10"/>
        <v>430</v>
      </c>
      <c r="BF7" s="41">
        <f t="shared" si="11"/>
        <v>8778.817786827196</v>
      </c>
      <c r="BG7" s="77">
        <f t="shared" si="12"/>
        <v>48.708333333333336</v>
      </c>
      <c r="BH7" s="43">
        <v>1.2949999999999999</v>
      </c>
      <c r="BI7" s="44">
        <v>2.0670000000000002</v>
      </c>
      <c r="BJ7" s="45">
        <v>29.85</v>
      </c>
      <c r="BK7" s="45">
        <v>16.88</v>
      </c>
      <c r="BL7" s="46">
        <v>22.06</v>
      </c>
      <c r="BM7" s="45">
        <v>26.52</v>
      </c>
      <c r="BN7" s="47">
        <v>1002.7</v>
      </c>
      <c r="BO7" s="45">
        <v>50.07</v>
      </c>
      <c r="BP7" s="48">
        <v>0.92100000000000004</v>
      </c>
      <c r="BQ7" s="52">
        <v>95.15</v>
      </c>
      <c r="BR7" s="45">
        <v>86.56</v>
      </c>
      <c r="BS7" s="49">
        <f t="shared" si="13"/>
        <v>-8.5900000000000034</v>
      </c>
      <c r="BT7" s="41">
        <v>11826</v>
      </c>
      <c r="BU7" s="41">
        <v>11443</v>
      </c>
      <c r="BV7" s="51">
        <f t="shared" si="14"/>
        <v>-383</v>
      </c>
      <c r="BW7" s="41">
        <f t="shared" si="15"/>
        <v>3.3620000000000001</v>
      </c>
      <c r="BX7" s="42">
        <v>15.25</v>
      </c>
      <c r="BY7" s="42">
        <v>24</v>
      </c>
      <c r="CA7" s="42">
        <v>14.23</v>
      </c>
      <c r="CB7" s="42">
        <v>7.05</v>
      </c>
      <c r="CD7" s="42">
        <v>2</v>
      </c>
      <c r="CE7" s="42">
        <v>4.5999999999999996</v>
      </c>
      <c r="CF7" s="42">
        <v>2</v>
      </c>
      <c r="CG7" s="42">
        <v>-1</v>
      </c>
    </row>
    <row r="8" spans="1:85">
      <c r="A8" s="452"/>
      <c r="B8" s="24">
        <v>43404</v>
      </c>
      <c r="C8" s="25">
        <v>77.599999999999994</v>
      </c>
      <c r="D8" s="26">
        <v>0.60099999999999998</v>
      </c>
      <c r="E8" s="38">
        <v>63.9</v>
      </c>
      <c r="F8" s="27">
        <v>91</v>
      </c>
      <c r="G8" s="27">
        <v>67</v>
      </c>
      <c r="H8" s="28">
        <v>15</v>
      </c>
      <c r="I8" s="28">
        <v>3</v>
      </c>
      <c r="J8" s="28">
        <v>22</v>
      </c>
      <c r="K8" s="28">
        <v>36</v>
      </c>
      <c r="L8" s="29">
        <v>6</v>
      </c>
      <c r="M8" s="29">
        <v>58</v>
      </c>
      <c r="N8" s="29">
        <v>0</v>
      </c>
      <c r="O8" s="29">
        <v>0</v>
      </c>
      <c r="P8" s="29">
        <v>13</v>
      </c>
      <c r="Q8" s="29">
        <v>35</v>
      </c>
      <c r="R8" s="29">
        <v>3621</v>
      </c>
      <c r="S8" s="30">
        <v>3353</v>
      </c>
      <c r="T8" s="30">
        <v>2757</v>
      </c>
      <c r="U8" s="31">
        <v>2707</v>
      </c>
      <c r="V8" s="31">
        <v>2798</v>
      </c>
      <c r="W8" s="28">
        <v>43</v>
      </c>
      <c r="X8" s="28">
        <v>69</v>
      </c>
      <c r="Y8" s="28">
        <v>46</v>
      </c>
      <c r="Z8" s="28">
        <v>35</v>
      </c>
      <c r="AA8" s="28">
        <v>60</v>
      </c>
      <c r="AB8" s="27">
        <v>54</v>
      </c>
      <c r="AC8" s="32">
        <f>V8-U8+AZ8</f>
        <v>91</v>
      </c>
      <c r="AD8" s="33">
        <f t="shared" si="0"/>
        <v>-50</v>
      </c>
      <c r="AE8" s="27">
        <v>149</v>
      </c>
      <c r="AF8" s="34">
        <f t="shared" si="1"/>
        <v>0.78243847874720363</v>
      </c>
      <c r="AG8" s="35">
        <f t="shared" si="2"/>
        <v>150.875</v>
      </c>
      <c r="AH8" s="34">
        <f t="shared" si="3"/>
        <v>0.74758354045843689</v>
      </c>
      <c r="AI8" s="36">
        <f t="shared" si="4"/>
        <v>0.96356730052199846</v>
      </c>
      <c r="AJ8" s="37">
        <f t="shared" si="5"/>
        <v>0.87533090976882921</v>
      </c>
      <c r="AK8" s="235">
        <v>7.27</v>
      </c>
      <c r="AL8" s="235">
        <v>164.84</v>
      </c>
      <c r="AM8" s="38">
        <f t="shared" si="6"/>
        <v>1198.3868</v>
      </c>
      <c r="AN8" s="235">
        <v>22.878</v>
      </c>
      <c r="AO8" s="380">
        <v>991.46</v>
      </c>
      <c r="AP8" s="39">
        <f t="shared" si="7"/>
        <v>22682.621880000002</v>
      </c>
      <c r="AQ8" s="201">
        <f t="shared" si="8"/>
        <v>8821.9463169560404</v>
      </c>
      <c r="AR8" s="198">
        <f t="shared" si="9"/>
        <v>139.70833333333334</v>
      </c>
      <c r="AS8" s="13"/>
      <c r="AT8" s="27">
        <v>21</v>
      </c>
      <c r="AU8" s="40">
        <v>50</v>
      </c>
      <c r="AV8" s="40">
        <v>27</v>
      </c>
      <c r="AW8" s="27">
        <v>49</v>
      </c>
      <c r="AX8" s="40">
        <v>29</v>
      </c>
      <c r="AY8" s="27">
        <v>571</v>
      </c>
      <c r="AZ8" s="27">
        <v>0</v>
      </c>
      <c r="BA8" s="4"/>
      <c r="BB8" s="41">
        <v>650</v>
      </c>
      <c r="BC8" s="41">
        <v>1035</v>
      </c>
      <c r="BD8" s="41">
        <v>1113</v>
      </c>
      <c r="BE8" s="41">
        <f t="shared" si="10"/>
        <v>385</v>
      </c>
      <c r="BF8" s="41">
        <f t="shared" si="11"/>
        <v>8821.9463169560404</v>
      </c>
      <c r="BG8" s="77">
        <f t="shared" si="12"/>
        <v>46.375</v>
      </c>
      <c r="BH8" s="43">
        <v>1.2190000000000001</v>
      </c>
      <c r="BI8" s="44">
        <v>1.8320000000000001</v>
      </c>
      <c r="BJ8" s="45">
        <v>29.54</v>
      </c>
      <c r="BK8" s="46">
        <v>16.739999999999998</v>
      </c>
      <c r="BL8" s="45">
        <v>21.17</v>
      </c>
      <c r="BM8" s="45">
        <v>25.11</v>
      </c>
      <c r="BN8" s="47">
        <v>1002.79</v>
      </c>
      <c r="BO8" s="45">
        <v>50.07</v>
      </c>
      <c r="BP8" s="48">
        <v>0.92149999999999999</v>
      </c>
      <c r="BQ8" s="46">
        <v>93.87</v>
      </c>
      <c r="BR8" s="45">
        <v>86.42</v>
      </c>
      <c r="BS8" s="49">
        <f t="shared" si="13"/>
        <v>-7.4500000000000028</v>
      </c>
      <c r="BT8" s="41">
        <v>11876</v>
      </c>
      <c r="BU8" s="41">
        <v>11468</v>
      </c>
      <c r="BV8" s="51">
        <f t="shared" si="14"/>
        <v>-408</v>
      </c>
      <c r="BW8" s="41">
        <f t="shared" si="15"/>
        <v>3.0510000000000002</v>
      </c>
      <c r="BX8" s="42">
        <v>13.666700000000001</v>
      </c>
      <c r="BY8" s="42">
        <v>21.62</v>
      </c>
      <c r="CA8" s="42">
        <v>12.85</v>
      </c>
      <c r="CB8" s="42">
        <v>3.81</v>
      </c>
      <c r="CD8" s="42">
        <v>2.1</v>
      </c>
      <c r="CE8" s="42">
        <v>4.8</v>
      </c>
      <c r="CF8" s="42">
        <v>2.1</v>
      </c>
      <c r="CG8" s="42">
        <v>-1</v>
      </c>
    </row>
    <row r="9" spans="1:85">
      <c r="A9" s="452"/>
      <c r="B9" s="24">
        <v>43405</v>
      </c>
      <c r="C9" s="25">
        <v>76.75</v>
      </c>
      <c r="D9" s="26">
        <v>0.62409999999999999</v>
      </c>
      <c r="E9" s="38">
        <v>64.3</v>
      </c>
      <c r="F9" s="27">
        <v>89</v>
      </c>
      <c r="G9" s="27">
        <v>67</v>
      </c>
      <c r="H9" s="28">
        <v>0</v>
      </c>
      <c r="I9" s="28">
        <v>0</v>
      </c>
      <c r="J9" s="28">
        <v>0</v>
      </c>
      <c r="K9" s="28">
        <v>0</v>
      </c>
      <c r="L9" s="29">
        <v>0</v>
      </c>
      <c r="M9" s="29">
        <v>0</v>
      </c>
      <c r="N9" s="29">
        <v>0</v>
      </c>
      <c r="O9" s="29">
        <v>0</v>
      </c>
      <c r="P9" s="29">
        <v>0</v>
      </c>
      <c r="Q9" s="29">
        <v>0</v>
      </c>
      <c r="R9" s="29">
        <v>3624</v>
      </c>
      <c r="S9" s="30">
        <v>0</v>
      </c>
      <c r="T9" s="30">
        <v>0</v>
      </c>
      <c r="U9" s="31">
        <v>0</v>
      </c>
      <c r="V9" s="31">
        <v>0</v>
      </c>
      <c r="W9" s="28">
        <v>43</v>
      </c>
      <c r="X9" s="28">
        <v>1440</v>
      </c>
      <c r="Y9" s="28">
        <v>46</v>
      </c>
      <c r="Z9" s="28">
        <v>1440</v>
      </c>
      <c r="AA9" s="28">
        <v>60</v>
      </c>
      <c r="AB9" s="27">
        <v>1440</v>
      </c>
      <c r="AC9" s="32">
        <f>V9-U9+AZ9</f>
        <v>6</v>
      </c>
      <c r="AD9" s="33">
        <f t="shared" si="0"/>
        <v>0</v>
      </c>
      <c r="AE9" s="27">
        <v>0</v>
      </c>
      <c r="AF9" s="34" t="str">
        <f t="shared" si="1"/>
        <v>no data</v>
      </c>
      <c r="AG9" s="35">
        <f t="shared" si="2"/>
        <v>151</v>
      </c>
      <c r="AH9" s="34" t="str">
        <f t="shared" si="3"/>
        <v>no data</v>
      </c>
      <c r="AI9" s="36">
        <f t="shared" si="4"/>
        <v>0</v>
      </c>
      <c r="AJ9" s="37" t="str">
        <f t="shared" si="5"/>
        <v>no data</v>
      </c>
      <c r="AK9" s="44">
        <v>0</v>
      </c>
      <c r="AL9" s="381">
        <v>0</v>
      </c>
      <c r="AM9" s="38">
        <f t="shared" si="6"/>
        <v>0</v>
      </c>
      <c r="AN9" s="44">
        <v>0</v>
      </c>
      <c r="AO9" s="381">
        <v>0</v>
      </c>
      <c r="AP9" s="39">
        <f t="shared" si="7"/>
        <v>0</v>
      </c>
      <c r="AQ9" s="201" t="str">
        <f t="shared" si="8"/>
        <v>no data</v>
      </c>
      <c r="AR9" s="198">
        <f t="shared" si="9"/>
        <v>0</v>
      </c>
      <c r="AS9" s="13"/>
      <c r="AT9" s="27">
        <v>0</v>
      </c>
      <c r="AU9" s="40">
        <v>0</v>
      </c>
      <c r="AV9" s="40">
        <v>0</v>
      </c>
      <c r="AW9" s="27">
        <v>0</v>
      </c>
      <c r="AX9" s="40">
        <v>0</v>
      </c>
      <c r="AY9" s="27">
        <v>0</v>
      </c>
      <c r="AZ9" s="27">
        <v>6</v>
      </c>
      <c r="BA9" s="4"/>
      <c r="BB9" s="41">
        <v>0</v>
      </c>
      <c r="BC9" s="41">
        <v>0</v>
      </c>
      <c r="BD9" s="41">
        <v>0</v>
      </c>
      <c r="BE9" s="41">
        <f t="shared" si="10"/>
        <v>0</v>
      </c>
      <c r="BF9" s="41" t="str">
        <f t="shared" si="11"/>
        <v>no data</v>
      </c>
      <c r="BG9" s="77">
        <f t="shared" si="12"/>
        <v>0</v>
      </c>
      <c r="BH9" s="43">
        <v>0</v>
      </c>
      <c r="BI9" s="44">
        <v>0</v>
      </c>
      <c r="BJ9" s="45">
        <v>0</v>
      </c>
      <c r="BK9" s="46">
        <v>0</v>
      </c>
      <c r="BL9" s="45">
        <v>0</v>
      </c>
      <c r="BM9" s="45">
        <v>0</v>
      </c>
      <c r="BN9" s="47">
        <v>1002.6</v>
      </c>
      <c r="BO9" s="45">
        <v>0</v>
      </c>
      <c r="BP9" s="53">
        <v>0</v>
      </c>
      <c r="BQ9" s="45">
        <v>0</v>
      </c>
      <c r="BR9" s="45">
        <v>0</v>
      </c>
      <c r="BS9" s="49">
        <f t="shared" si="13"/>
        <v>0</v>
      </c>
      <c r="BT9" s="41">
        <v>0</v>
      </c>
      <c r="BU9" s="41">
        <v>0</v>
      </c>
      <c r="BV9" s="51">
        <f t="shared" si="14"/>
        <v>0</v>
      </c>
      <c r="BW9" s="41">
        <f t="shared" si="15"/>
        <v>0</v>
      </c>
      <c r="BX9" s="42">
        <v>0</v>
      </c>
      <c r="BY9" s="42">
        <v>0</v>
      </c>
      <c r="CA9" s="42">
        <v>0</v>
      </c>
      <c r="CB9" s="42">
        <v>3.3</v>
      </c>
      <c r="CD9" s="42">
        <v>0</v>
      </c>
      <c r="CE9" s="42">
        <v>0</v>
      </c>
      <c r="CF9" s="42">
        <v>0</v>
      </c>
      <c r="CG9" s="42">
        <v>0</v>
      </c>
    </row>
    <row r="10" spans="1:85">
      <c r="A10" s="452"/>
      <c r="B10" s="24">
        <v>43406</v>
      </c>
      <c r="C10" s="25">
        <v>73.599999999999994</v>
      </c>
      <c r="D10" s="26">
        <v>0.68500000000000005</v>
      </c>
      <c r="E10" s="38">
        <v>63.8</v>
      </c>
      <c r="F10" s="27">
        <v>82</v>
      </c>
      <c r="G10" s="27">
        <v>66</v>
      </c>
      <c r="H10" s="28">
        <v>0</v>
      </c>
      <c r="I10" s="28">
        <v>0</v>
      </c>
      <c r="J10" s="28">
        <v>0</v>
      </c>
      <c r="K10" s="28">
        <v>0</v>
      </c>
      <c r="L10" s="29">
        <v>0</v>
      </c>
      <c r="M10" s="29">
        <v>0</v>
      </c>
      <c r="N10" s="29">
        <v>0</v>
      </c>
      <c r="O10" s="29">
        <v>0</v>
      </c>
      <c r="P10" s="29">
        <v>0</v>
      </c>
      <c r="Q10" s="29">
        <v>0</v>
      </c>
      <c r="R10" s="29">
        <v>3648</v>
      </c>
      <c r="S10" s="30">
        <v>0</v>
      </c>
      <c r="T10" s="30">
        <v>0</v>
      </c>
      <c r="U10" s="31">
        <v>0</v>
      </c>
      <c r="V10" s="31">
        <v>0</v>
      </c>
      <c r="W10" s="28">
        <v>43</v>
      </c>
      <c r="X10" s="28">
        <v>1440</v>
      </c>
      <c r="Y10" s="28">
        <v>46</v>
      </c>
      <c r="Z10" s="28">
        <v>1440</v>
      </c>
      <c r="AA10" s="28">
        <v>60</v>
      </c>
      <c r="AB10" s="27">
        <v>1440</v>
      </c>
      <c r="AC10" s="32">
        <v>9</v>
      </c>
      <c r="AD10" s="33">
        <f t="shared" si="0"/>
        <v>0</v>
      </c>
      <c r="AE10" s="27">
        <v>0</v>
      </c>
      <c r="AF10" s="34" t="str">
        <f t="shared" si="1"/>
        <v>no data</v>
      </c>
      <c r="AG10" s="35">
        <f t="shared" si="2"/>
        <v>152</v>
      </c>
      <c r="AH10" s="34" t="str">
        <f t="shared" si="3"/>
        <v>no data</v>
      </c>
      <c r="AI10" s="36">
        <f t="shared" si="4"/>
        <v>0</v>
      </c>
      <c r="AJ10" s="37" t="str">
        <f t="shared" si="5"/>
        <v>no data</v>
      </c>
      <c r="AK10" s="44">
        <v>0</v>
      </c>
      <c r="AL10" s="381">
        <v>0</v>
      </c>
      <c r="AM10" s="38">
        <f t="shared" si="6"/>
        <v>0</v>
      </c>
      <c r="AN10" s="44">
        <v>0</v>
      </c>
      <c r="AO10" s="381">
        <v>0</v>
      </c>
      <c r="AP10" s="39">
        <f t="shared" si="7"/>
        <v>0</v>
      </c>
      <c r="AQ10" s="201" t="str">
        <f t="shared" si="8"/>
        <v>no data</v>
      </c>
      <c r="AR10" s="198">
        <f t="shared" si="9"/>
        <v>0</v>
      </c>
      <c r="AS10" s="13"/>
      <c r="AT10" s="27">
        <v>0</v>
      </c>
      <c r="AU10" s="40">
        <v>0</v>
      </c>
      <c r="AV10" s="40">
        <v>0</v>
      </c>
      <c r="AW10" s="27">
        <v>0</v>
      </c>
      <c r="AX10" s="40">
        <v>0</v>
      </c>
      <c r="AY10" s="27">
        <v>0</v>
      </c>
      <c r="AZ10" s="27">
        <v>0</v>
      </c>
      <c r="BA10" s="4"/>
      <c r="BB10" s="41">
        <v>0</v>
      </c>
      <c r="BC10" s="41">
        <v>0</v>
      </c>
      <c r="BD10" s="41">
        <v>0</v>
      </c>
      <c r="BE10" s="41">
        <f t="shared" si="10"/>
        <v>0</v>
      </c>
      <c r="BF10" s="41" t="str">
        <f t="shared" si="11"/>
        <v>no data</v>
      </c>
      <c r="BG10" s="77">
        <f t="shared" si="12"/>
        <v>0</v>
      </c>
      <c r="BH10" s="43">
        <v>0</v>
      </c>
      <c r="BI10" s="44">
        <v>0</v>
      </c>
      <c r="BJ10" s="45">
        <v>0</v>
      </c>
      <c r="BK10" s="46">
        <v>0</v>
      </c>
      <c r="BL10" s="47">
        <v>0</v>
      </c>
      <c r="BM10" s="47">
        <v>0</v>
      </c>
      <c r="BN10" s="47">
        <v>1003</v>
      </c>
      <c r="BO10" s="45">
        <v>0</v>
      </c>
      <c r="BP10" s="48">
        <v>0</v>
      </c>
      <c r="BQ10" s="42">
        <v>0</v>
      </c>
      <c r="BR10" s="42">
        <v>0</v>
      </c>
      <c r="BS10" s="49">
        <f t="shared" si="13"/>
        <v>0</v>
      </c>
      <c r="BT10" s="41">
        <v>0</v>
      </c>
      <c r="BU10" s="41">
        <v>0</v>
      </c>
      <c r="BV10" s="51">
        <f t="shared" si="14"/>
        <v>0</v>
      </c>
      <c r="BW10" s="41">
        <f t="shared" si="15"/>
        <v>0</v>
      </c>
      <c r="BX10" s="42">
        <v>0</v>
      </c>
      <c r="BY10" s="42">
        <v>0</v>
      </c>
      <c r="CA10" s="42">
        <v>0</v>
      </c>
      <c r="CB10" s="42">
        <v>0</v>
      </c>
      <c r="CD10" s="42">
        <v>0</v>
      </c>
      <c r="CE10" s="42">
        <v>0</v>
      </c>
      <c r="CF10" s="42">
        <v>0</v>
      </c>
      <c r="CG10" s="42">
        <v>0</v>
      </c>
    </row>
    <row r="11" spans="1:85">
      <c r="A11" s="452"/>
      <c r="B11" s="24">
        <v>43407</v>
      </c>
      <c r="C11" s="25">
        <v>69.7</v>
      </c>
      <c r="D11" s="26">
        <v>0.56200000000000006</v>
      </c>
      <c r="E11" s="38">
        <v>56.3</v>
      </c>
      <c r="F11" s="27">
        <v>82</v>
      </c>
      <c r="G11" s="27">
        <v>61</v>
      </c>
      <c r="H11" s="28">
        <v>0</v>
      </c>
      <c r="I11" s="28">
        <v>0</v>
      </c>
      <c r="J11" s="28">
        <v>0</v>
      </c>
      <c r="K11" s="28">
        <v>0</v>
      </c>
      <c r="L11" s="29">
        <v>0</v>
      </c>
      <c r="M11" s="29">
        <v>0</v>
      </c>
      <c r="N11" s="29">
        <v>0</v>
      </c>
      <c r="O11" s="29">
        <v>0</v>
      </c>
      <c r="P11" s="29">
        <v>0</v>
      </c>
      <c r="Q11" s="29">
        <v>0</v>
      </c>
      <c r="R11" s="29">
        <v>3696</v>
      </c>
      <c r="S11" s="30">
        <v>0</v>
      </c>
      <c r="T11" s="30">
        <v>0</v>
      </c>
      <c r="U11" s="31">
        <v>0</v>
      </c>
      <c r="V11" s="31">
        <v>0</v>
      </c>
      <c r="W11" s="28">
        <v>43</v>
      </c>
      <c r="X11" s="28">
        <v>1440</v>
      </c>
      <c r="Y11" s="28">
        <v>46</v>
      </c>
      <c r="Z11" s="28">
        <v>1440</v>
      </c>
      <c r="AA11" s="28">
        <v>60</v>
      </c>
      <c r="AB11" s="27">
        <v>1440</v>
      </c>
      <c r="AC11" s="32">
        <v>6</v>
      </c>
      <c r="AD11" s="33">
        <f t="shared" si="0"/>
        <v>0</v>
      </c>
      <c r="AE11" s="27">
        <v>0</v>
      </c>
      <c r="AF11" s="34" t="str">
        <f t="shared" si="1"/>
        <v>no data</v>
      </c>
      <c r="AG11" s="35">
        <f t="shared" si="2"/>
        <v>154</v>
      </c>
      <c r="AH11" s="34" t="str">
        <f t="shared" si="3"/>
        <v>no data</v>
      </c>
      <c r="AI11" s="36">
        <f t="shared" si="4"/>
        <v>0</v>
      </c>
      <c r="AJ11" s="37" t="str">
        <f t="shared" si="5"/>
        <v>no data</v>
      </c>
      <c r="AK11" s="44">
        <v>0</v>
      </c>
      <c r="AL11" s="381">
        <v>0</v>
      </c>
      <c r="AM11" s="38">
        <f t="shared" si="6"/>
        <v>0</v>
      </c>
      <c r="AN11" s="44">
        <v>0</v>
      </c>
      <c r="AO11" s="381">
        <v>0</v>
      </c>
      <c r="AP11" s="39">
        <f t="shared" si="7"/>
        <v>0</v>
      </c>
      <c r="AQ11" s="201" t="str">
        <f t="shared" si="8"/>
        <v>no data</v>
      </c>
      <c r="AR11" s="198">
        <f t="shared" si="9"/>
        <v>0</v>
      </c>
      <c r="AS11" s="13"/>
      <c r="AT11" s="27">
        <v>0</v>
      </c>
      <c r="AU11" s="40">
        <v>0</v>
      </c>
      <c r="AV11" s="40">
        <v>0</v>
      </c>
      <c r="AW11" s="27">
        <v>0</v>
      </c>
      <c r="AX11" s="40">
        <v>0</v>
      </c>
      <c r="AY11" s="27">
        <v>0</v>
      </c>
      <c r="AZ11" s="27">
        <v>0</v>
      </c>
      <c r="BA11" s="4"/>
      <c r="BB11" s="41">
        <v>0</v>
      </c>
      <c r="BC11" s="41">
        <v>0</v>
      </c>
      <c r="BD11" s="41">
        <v>0</v>
      </c>
      <c r="BE11" s="41">
        <f t="shared" si="10"/>
        <v>0</v>
      </c>
      <c r="BF11" s="41" t="str">
        <f t="shared" si="11"/>
        <v>no data</v>
      </c>
      <c r="BG11" s="77">
        <f t="shared" si="12"/>
        <v>0</v>
      </c>
      <c r="BH11" s="43">
        <v>0</v>
      </c>
      <c r="BI11" s="44">
        <v>0</v>
      </c>
      <c r="BJ11" s="45">
        <v>0</v>
      </c>
      <c r="BK11" s="46">
        <v>0</v>
      </c>
      <c r="BL11" s="47">
        <v>0</v>
      </c>
      <c r="BM11" s="47">
        <v>0</v>
      </c>
      <c r="BN11" s="47">
        <v>1003</v>
      </c>
      <c r="BO11" s="45">
        <v>0</v>
      </c>
      <c r="BP11" s="48">
        <v>0</v>
      </c>
      <c r="BQ11" s="42">
        <v>0</v>
      </c>
      <c r="BR11" s="42">
        <v>0</v>
      </c>
      <c r="BS11" s="49">
        <f t="shared" si="13"/>
        <v>0</v>
      </c>
      <c r="BT11" s="41">
        <v>0</v>
      </c>
      <c r="BU11" s="41">
        <v>0</v>
      </c>
      <c r="BV11" s="51">
        <f t="shared" si="14"/>
        <v>0</v>
      </c>
      <c r="BW11" s="41">
        <f t="shared" si="15"/>
        <v>0</v>
      </c>
      <c r="BX11" s="41">
        <v>0</v>
      </c>
      <c r="BY11" s="41">
        <v>0</v>
      </c>
      <c r="CA11" s="41">
        <v>0</v>
      </c>
      <c r="CB11" s="41">
        <v>0</v>
      </c>
      <c r="CD11" s="41">
        <v>0</v>
      </c>
      <c r="CE11" s="41">
        <v>0</v>
      </c>
      <c r="CF11" s="41">
        <v>0</v>
      </c>
      <c r="CG11" s="41">
        <v>0</v>
      </c>
    </row>
    <row r="12" spans="1:85">
      <c r="A12" s="453"/>
      <c r="B12" s="24">
        <v>43408</v>
      </c>
      <c r="C12" s="25">
        <v>67.400000000000006</v>
      </c>
      <c r="D12" s="26">
        <v>0.47299999999999998</v>
      </c>
      <c r="E12" s="38">
        <v>50.9</v>
      </c>
      <c r="F12" s="27">
        <v>87</v>
      </c>
      <c r="G12" s="27">
        <v>57</v>
      </c>
      <c r="H12" s="28">
        <v>0</v>
      </c>
      <c r="I12" s="28">
        <v>0</v>
      </c>
      <c r="J12" s="28">
        <v>0</v>
      </c>
      <c r="K12" s="28">
        <v>0</v>
      </c>
      <c r="L12" s="29">
        <v>0</v>
      </c>
      <c r="M12" s="29">
        <v>0</v>
      </c>
      <c r="N12" s="29">
        <v>0</v>
      </c>
      <c r="O12" s="29">
        <v>0</v>
      </c>
      <c r="P12" s="29">
        <v>0</v>
      </c>
      <c r="Q12" s="29">
        <v>0</v>
      </c>
      <c r="R12" s="29">
        <v>3720</v>
      </c>
      <c r="S12" s="30">
        <v>0</v>
      </c>
      <c r="T12" s="30">
        <v>0</v>
      </c>
      <c r="U12" s="31">
        <v>0</v>
      </c>
      <c r="V12" s="31">
        <v>0</v>
      </c>
      <c r="W12" s="28">
        <v>43</v>
      </c>
      <c r="X12" s="28">
        <v>1440</v>
      </c>
      <c r="Y12" s="28">
        <v>46</v>
      </c>
      <c r="Z12" s="28">
        <v>1440</v>
      </c>
      <c r="AA12" s="28">
        <v>60</v>
      </c>
      <c r="AB12" s="27">
        <v>1440</v>
      </c>
      <c r="AC12" s="32">
        <v>5</v>
      </c>
      <c r="AD12" s="33">
        <f t="shared" si="0"/>
        <v>0</v>
      </c>
      <c r="AE12" s="27">
        <v>0</v>
      </c>
      <c r="AF12" s="34" t="str">
        <f t="shared" si="1"/>
        <v>no data</v>
      </c>
      <c r="AG12" s="35">
        <f t="shared" si="2"/>
        <v>155</v>
      </c>
      <c r="AH12" s="34" t="str">
        <f t="shared" si="3"/>
        <v>no data</v>
      </c>
      <c r="AI12" s="36">
        <f t="shared" si="4"/>
        <v>0</v>
      </c>
      <c r="AJ12" s="37" t="str">
        <f t="shared" si="5"/>
        <v>no data</v>
      </c>
      <c r="AK12" s="44">
        <v>0</v>
      </c>
      <c r="AL12" s="381">
        <v>0</v>
      </c>
      <c r="AM12" s="38">
        <f t="shared" si="6"/>
        <v>0</v>
      </c>
      <c r="AN12" s="44">
        <v>0</v>
      </c>
      <c r="AO12" s="381">
        <v>0</v>
      </c>
      <c r="AP12" s="39">
        <f t="shared" si="7"/>
        <v>0</v>
      </c>
      <c r="AQ12" s="201" t="str">
        <f t="shared" si="8"/>
        <v>no data</v>
      </c>
      <c r="AR12" s="198">
        <f t="shared" si="9"/>
        <v>0</v>
      </c>
      <c r="AS12" s="13"/>
      <c r="AT12" s="27">
        <v>0</v>
      </c>
      <c r="AU12" s="40">
        <v>0</v>
      </c>
      <c r="AV12" s="40">
        <v>0</v>
      </c>
      <c r="AW12" s="27">
        <v>0</v>
      </c>
      <c r="AX12" s="40">
        <v>0</v>
      </c>
      <c r="AY12" s="27">
        <v>0</v>
      </c>
      <c r="AZ12" s="27">
        <v>0</v>
      </c>
      <c r="BA12" s="4"/>
      <c r="BB12" s="41">
        <v>0</v>
      </c>
      <c r="BC12" s="41">
        <v>0</v>
      </c>
      <c r="BD12" s="41">
        <v>0</v>
      </c>
      <c r="BE12" s="41">
        <v>0</v>
      </c>
      <c r="BF12" s="41" t="str">
        <f t="shared" si="11"/>
        <v>no data</v>
      </c>
      <c r="BG12" s="77">
        <f t="shared" si="12"/>
        <v>0</v>
      </c>
      <c r="BH12" s="43">
        <v>0</v>
      </c>
      <c r="BI12" s="44">
        <v>0</v>
      </c>
      <c r="BJ12" s="45">
        <v>0</v>
      </c>
      <c r="BK12" s="46">
        <v>0</v>
      </c>
      <c r="BL12" s="47">
        <v>0</v>
      </c>
      <c r="BM12" s="47">
        <v>0</v>
      </c>
      <c r="BN12" s="47">
        <v>1004</v>
      </c>
      <c r="BO12" s="45">
        <v>0</v>
      </c>
      <c r="BP12" s="48">
        <v>0</v>
      </c>
      <c r="BQ12" s="42">
        <v>0</v>
      </c>
      <c r="BR12" s="42">
        <v>0</v>
      </c>
      <c r="BS12" s="49">
        <f t="shared" si="13"/>
        <v>0</v>
      </c>
      <c r="BT12" s="41">
        <v>0</v>
      </c>
      <c r="BU12" s="41">
        <v>0</v>
      </c>
      <c r="BV12" s="51">
        <f t="shared" si="14"/>
        <v>0</v>
      </c>
      <c r="BW12" s="41">
        <f t="shared" si="15"/>
        <v>0</v>
      </c>
      <c r="BX12" s="78">
        <v>0</v>
      </c>
      <c r="BY12" s="78">
        <v>0</v>
      </c>
      <c r="CA12" s="78">
        <v>0</v>
      </c>
      <c r="CB12" s="78">
        <v>0</v>
      </c>
      <c r="CD12" s="78">
        <v>0</v>
      </c>
      <c r="CE12" s="78">
        <v>0</v>
      </c>
      <c r="CF12" s="78">
        <v>0</v>
      </c>
      <c r="CG12" s="78">
        <v>0</v>
      </c>
    </row>
    <row r="13" spans="1:85" ht="15" customHeight="1">
      <c r="A13" s="451" t="s">
        <v>317</v>
      </c>
      <c r="B13" s="24">
        <v>43409</v>
      </c>
      <c r="C13" s="157">
        <v>67.099999999999994</v>
      </c>
      <c r="D13" s="158">
        <v>0.51600000000000001</v>
      </c>
      <c r="E13" s="171">
        <v>52</v>
      </c>
      <c r="F13" s="159">
        <v>82.5</v>
      </c>
      <c r="G13" s="159">
        <v>55</v>
      </c>
      <c r="H13" s="160">
        <v>0</v>
      </c>
      <c r="I13" s="160">
        <v>0</v>
      </c>
      <c r="J13" s="160">
        <v>0</v>
      </c>
      <c r="K13" s="160">
        <v>0</v>
      </c>
      <c r="L13" s="161">
        <v>0</v>
      </c>
      <c r="M13" s="161">
        <v>0</v>
      </c>
      <c r="N13" s="161">
        <v>0</v>
      </c>
      <c r="O13" s="161">
        <v>0</v>
      </c>
      <c r="P13" s="161">
        <v>0</v>
      </c>
      <c r="Q13" s="161">
        <v>0</v>
      </c>
      <c r="R13" s="162">
        <v>3720</v>
      </c>
      <c r="S13" s="163">
        <v>0</v>
      </c>
      <c r="T13" s="163">
        <v>0</v>
      </c>
      <c r="U13" s="164">
        <v>0</v>
      </c>
      <c r="V13" s="164">
        <v>0</v>
      </c>
      <c r="W13" s="159">
        <v>43</v>
      </c>
      <c r="X13" s="159">
        <v>1440</v>
      </c>
      <c r="Y13" s="159">
        <v>46</v>
      </c>
      <c r="Z13" s="159">
        <v>1440</v>
      </c>
      <c r="AA13" s="159">
        <v>60</v>
      </c>
      <c r="AB13" s="159">
        <v>1440</v>
      </c>
      <c r="AC13" s="165">
        <v>6</v>
      </c>
      <c r="AD13" s="166">
        <f t="shared" ref="AD13:AD40" si="16">U13-T13</f>
        <v>0</v>
      </c>
      <c r="AE13" s="159">
        <v>0</v>
      </c>
      <c r="AF13" s="167" t="str">
        <f t="shared" ref="AF13:AF40" si="17">IF(AE13&gt;0, V13/(AE13*24),"no data")</f>
        <v>no data</v>
      </c>
      <c r="AG13" s="168">
        <f t="shared" ref="AG13:AG40" si="18">IF(R13&gt;0,R13/24,"no data")</f>
        <v>155</v>
      </c>
      <c r="AH13" s="167" t="str">
        <f t="shared" ref="AH13:AH40" si="19">IF(U13&gt;0,(U13/R13),"no data")</f>
        <v>no data</v>
      </c>
      <c r="AI13" s="169">
        <f t="shared" ref="AI13:AI40" si="20">(1440-((W13*X13)+(Y13*Z13)+(AA13*AB13))/(W13+Y13+AA13))/1440</f>
        <v>0</v>
      </c>
      <c r="AJ13" s="170" t="str">
        <f t="shared" ref="AJ13:AJ40" si="21">IF(U13&gt;0,(1440-((X13*W13+AT13*AU13)+(Z13*Y13+AV13*AW13)+(AA13*AB13+AX13*AY13))/(W13+Y13+AA13))/1440,"no data")</f>
        <v>no data</v>
      </c>
      <c r="AK13" s="376">
        <v>0</v>
      </c>
      <c r="AL13" s="387">
        <v>0</v>
      </c>
      <c r="AM13" s="368">
        <f t="shared" ref="AM13:AM40" si="22">AK13*AL13</f>
        <v>0</v>
      </c>
      <c r="AN13" s="376">
        <v>0</v>
      </c>
      <c r="AO13" s="379">
        <v>0</v>
      </c>
      <c r="AP13" s="172">
        <f t="shared" ref="AP13:AP40" si="23">AN13*AO13</f>
        <v>0</v>
      </c>
      <c r="AQ13" s="202" t="str">
        <f t="shared" ref="AQ13:AQ40" si="24">IF(U13&gt;0,((((AK13*AL13)+(AN13*AO13))/(U13*1000))*1000000),"no data")</f>
        <v>no data</v>
      </c>
      <c r="AR13" s="199">
        <f t="shared" ref="AR13:AR40" si="25">S13/24</f>
        <v>0</v>
      </c>
      <c r="AS13" s="13"/>
      <c r="AT13" s="173">
        <v>0</v>
      </c>
      <c r="AU13" s="159">
        <v>0</v>
      </c>
      <c r="AV13" s="174">
        <v>0</v>
      </c>
      <c r="AW13" s="174">
        <v>0</v>
      </c>
      <c r="AX13" s="159">
        <v>0</v>
      </c>
      <c r="AY13" s="174">
        <v>0</v>
      </c>
      <c r="AZ13" s="159">
        <v>0</v>
      </c>
      <c r="BA13" s="4"/>
      <c r="BB13" s="159">
        <v>0</v>
      </c>
      <c r="BC13" s="159">
        <v>0</v>
      </c>
      <c r="BD13" s="159">
        <v>0</v>
      </c>
      <c r="BE13" s="175">
        <f>BC13-BB13</f>
        <v>0</v>
      </c>
      <c r="BF13" s="176" t="str">
        <f t="shared" ref="BF13:BF42" si="26">AQ13</f>
        <v>no data</v>
      </c>
      <c r="BG13" s="177">
        <f t="shared" ref="BG13:BG40" si="27">BD13/24</f>
        <v>0</v>
      </c>
      <c r="BH13" s="178">
        <v>0</v>
      </c>
      <c r="BI13" s="156">
        <v>0</v>
      </c>
      <c r="BJ13" s="177">
        <v>0</v>
      </c>
      <c r="BK13" s="175">
        <v>0</v>
      </c>
      <c r="BL13" s="175">
        <v>0</v>
      </c>
      <c r="BM13" s="175">
        <v>0</v>
      </c>
      <c r="BN13" s="175">
        <v>1004</v>
      </c>
      <c r="BO13" s="177">
        <v>0</v>
      </c>
      <c r="BP13" s="180">
        <v>0</v>
      </c>
      <c r="BQ13" s="186">
        <v>0</v>
      </c>
      <c r="BR13" s="186">
        <v>0</v>
      </c>
      <c r="BS13" s="49">
        <f t="shared" ref="BS13:BS40" si="28">BR13-BQ13</f>
        <v>0</v>
      </c>
      <c r="BT13" s="179">
        <v>0</v>
      </c>
      <c r="BU13" s="179">
        <v>0</v>
      </c>
      <c r="BV13" s="51">
        <f t="shared" ref="BV13:BV40" si="29">BU13-BT13</f>
        <v>0</v>
      </c>
      <c r="BW13" s="175">
        <f t="shared" ref="BW13:BW40" si="30">BH13+BI13</f>
        <v>0</v>
      </c>
      <c r="BX13" s="177">
        <v>0</v>
      </c>
      <c r="BY13" s="177">
        <v>0</v>
      </c>
      <c r="CA13" s="177">
        <v>0</v>
      </c>
      <c r="CB13" s="177">
        <v>0</v>
      </c>
      <c r="CD13" s="177">
        <v>0</v>
      </c>
      <c r="CE13" s="177">
        <v>0</v>
      </c>
      <c r="CF13" s="177">
        <v>0</v>
      </c>
      <c r="CG13" s="177">
        <v>0</v>
      </c>
    </row>
    <row r="14" spans="1:85">
      <c r="A14" s="452"/>
      <c r="B14" s="24">
        <v>43410</v>
      </c>
      <c r="C14" s="157">
        <v>69.3</v>
      </c>
      <c r="D14" s="197">
        <v>0.44900000000000001</v>
      </c>
      <c r="E14" s="171">
        <v>51.5</v>
      </c>
      <c r="F14" s="159">
        <v>86</v>
      </c>
      <c r="G14" s="159">
        <v>59</v>
      </c>
      <c r="H14" s="160">
        <v>0</v>
      </c>
      <c r="I14" s="160">
        <v>0</v>
      </c>
      <c r="J14" s="160">
        <v>0</v>
      </c>
      <c r="K14" s="160">
        <v>0</v>
      </c>
      <c r="L14" s="161">
        <v>0</v>
      </c>
      <c r="M14" s="161">
        <v>0</v>
      </c>
      <c r="N14" s="161">
        <v>0</v>
      </c>
      <c r="O14" s="161">
        <v>0</v>
      </c>
      <c r="P14" s="161">
        <v>0</v>
      </c>
      <c r="Q14" s="161">
        <v>0</v>
      </c>
      <c r="R14" s="162">
        <v>3720</v>
      </c>
      <c r="S14" s="163">
        <v>0</v>
      </c>
      <c r="T14" s="163">
        <v>0</v>
      </c>
      <c r="U14" s="164">
        <v>0</v>
      </c>
      <c r="V14" s="164">
        <v>0</v>
      </c>
      <c r="W14" s="159">
        <v>43</v>
      </c>
      <c r="X14" s="159">
        <v>1440</v>
      </c>
      <c r="Y14" s="159">
        <v>46</v>
      </c>
      <c r="Z14" s="159">
        <v>1440</v>
      </c>
      <c r="AA14" s="159">
        <v>60</v>
      </c>
      <c r="AB14" s="159">
        <v>1440</v>
      </c>
      <c r="AC14" s="165">
        <f t="shared" ref="AC14:AC40" si="31">V14-U14+AZ14</f>
        <v>0</v>
      </c>
      <c r="AD14" s="166">
        <f t="shared" si="16"/>
        <v>0</v>
      </c>
      <c r="AE14" s="159">
        <v>0</v>
      </c>
      <c r="AF14" s="167" t="str">
        <f t="shared" si="17"/>
        <v>no data</v>
      </c>
      <c r="AG14" s="168">
        <f t="shared" si="18"/>
        <v>155</v>
      </c>
      <c r="AH14" s="167" t="str">
        <f t="shared" si="19"/>
        <v>no data</v>
      </c>
      <c r="AI14" s="169">
        <f t="shared" si="20"/>
        <v>0</v>
      </c>
      <c r="AJ14" s="170" t="str">
        <f t="shared" si="21"/>
        <v>no data</v>
      </c>
      <c r="AK14" s="376">
        <v>0</v>
      </c>
      <c r="AL14" s="387">
        <v>0</v>
      </c>
      <c r="AM14" s="368">
        <f t="shared" si="22"/>
        <v>0</v>
      </c>
      <c r="AN14" s="376">
        <v>0</v>
      </c>
      <c r="AO14" s="379">
        <v>0</v>
      </c>
      <c r="AP14" s="172">
        <f t="shared" si="23"/>
        <v>0</v>
      </c>
      <c r="AQ14" s="202" t="str">
        <f t="shared" si="24"/>
        <v>no data</v>
      </c>
      <c r="AR14" s="199">
        <f t="shared" si="25"/>
        <v>0</v>
      </c>
      <c r="AS14" s="13"/>
      <c r="AT14" s="173">
        <v>0</v>
      </c>
      <c r="AU14" s="159">
        <v>0</v>
      </c>
      <c r="AV14" s="174">
        <v>0</v>
      </c>
      <c r="AW14" s="174">
        <v>0</v>
      </c>
      <c r="AX14" s="159">
        <v>0</v>
      </c>
      <c r="AY14" s="174">
        <v>0</v>
      </c>
      <c r="AZ14" s="159">
        <v>0</v>
      </c>
      <c r="BA14" s="4"/>
      <c r="BB14" s="159">
        <v>0</v>
      </c>
      <c r="BC14" s="159">
        <v>0</v>
      </c>
      <c r="BD14" s="159">
        <v>0</v>
      </c>
      <c r="BE14" s="175">
        <v>0</v>
      </c>
      <c r="BF14" s="176" t="str">
        <f t="shared" si="26"/>
        <v>no data</v>
      </c>
      <c r="BG14" s="177">
        <f t="shared" si="27"/>
        <v>0</v>
      </c>
      <c r="BH14" s="178">
        <v>0</v>
      </c>
      <c r="BI14" s="156">
        <v>0</v>
      </c>
      <c r="BJ14" s="177">
        <v>0</v>
      </c>
      <c r="BK14" s="175">
        <v>0</v>
      </c>
      <c r="BL14" s="175">
        <v>0</v>
      </c>
      <c r="BM14" s="175">
        <v>0</v>
      </c>
      <c r="BN14" s="179">
        <v>1003</v>
      </c>
      <c r="BO14" s="179">
        <v>0</v>
      </c>
      <c r="BP14" s="180">
        <v>0</v>
      </c>
      <c r="BQ14" s="177">
        <v>0</v>
      </c>
      <c r="BR14" s="177">
        <v>0</v>
      </c>
      <c r="BS14" s="49">
        <f t="shared" si="28"/>
        <v>0</v>
      </c>
      <c r="BT14" s="175">
        <v>0</v>
      </c>
      <c r="BU14" s="175">
        <v>0</v>
      </c>
      <c r="BV14" s="51">
        <f t="shared" si="29"/>
        <v>0</v>
      </c>
      <c r="BW14" s="175">
        <f t="shared" si="30"/>
        <v>0</v>
      </c>
      <c r="BX14" s="177">
        <v>0</v>
      </c>
      <c r="BY14" s="177">
        <v>0</v>
      </c>
      <c r="CA14" s="177">
        <v>0</v>
      </c>
      <c r="CB14" s="177">
        <v>0</v>
      </c>
      <c r="CD14" s="177">
        <v>0</v>
      </c>
      <c r="CE14" s="177">
        <v>0</v>
      </c>
      <c r="CF14" s="177">
        <v>0</v>
      </c>
      <c r="CG14" s="177">
        <v>0</v>
      </c>
    </row>
    <row r="15" spans="1:85">
      <c r="A15" s="452"/>
      <c r="B15" s="24">
        <v>43411</v>
      </c>
      <c r="C15" s="157">
        <v>69.599999999999994</v>
      </c>
      <c r="D15" s="197">
        <v>0.48099999999999998</v>
      </c>
      <c r="E15" s="171">
        <v>53</v>
      </c>
      <c r="F15" s="159">
        <v>86</v>
      </c>
      <c r="G15" s="159">
        <v>58</v>
      </c>
      <c r="H15" s="160">
        <v>0</v>
      </c>
      <c r="I15" s="160">
        <v>0</v>
      </c>
      <c r="J15" s="160">
        <v>0</v>
      </c>
      <c r="K15" s="160">
        <v>0</v>
      </c>
      <c r="L15" s="161">
        <v>0</v>
      </c>
      <c r="M15" s="161">
        <v>0</v>
      </c>
      <c r="N15" s="161">
        <v>0</v>
      </c>
      <c r="O15" s="161">
        <v>0</v>
      </c>
      <c r="P15" s="161">
        <v>0</v>
      </c>
      <c r="Q15" s="161">
        <v>0</v>
      </c>
      <c r="R15" s="162">
        <v>3720</v>
      </c>
      <c r="S15" s="163">
        <v>0</v>
      </c>
      <c r="T15" s="163">
        <v>0</v>
      </c>
      <c r="U15" s="164">
        <v>0</v>
      </c>
      <c r="V15" s="164">
        <v>0</v>
      </c>
      <c r="W15" s="159">
        <v>43</v>
      </c>
      <c r="X15" s="159">
        <v>1440</v>
      </c>
      <c r="Y15" s="159">
        <v>46</v>
      </c>
      <c r="Z15" s="159">
        <v>1440</v>
      </c>
      <c r="AA15" s="159">
        <v>60</v>
      </c>
      <c r="AB15" s="159">
        <v>1440</v>
      </c>
      <c r="AC15" s="165">
        <f t="shared" si="31"/>
        <v>0</v>
      </c>
      <c r="AD15" s="166">
        <f t="shared" si="16"/>
        <v>0</v>
      </c>
      <c r="AE15" s="159">
        <v>0</v>
      </c>
      <c r="AF15" s="167" t="str">
        <f t="shared" si="17"/>
        <v>no data</v>
      </c>
      <c r="AG15" s="168">
        <f t="shared" si="18"/>
        <v>155</v>
      </c>
      <c r="AH15" s="167" t="str">
        <f t="shared" si="19"/>
        <v>no data</v>
      </c>
      <c r="AI15" s="169">
        <f t="shared" si="20"/>
        <v>0</v>
      </c>
      <c r="AJ15" s="170" t="str">
        <f t="shared" si="21"/>
        <v>no data</v>
      </c>
      <c r="AK15" s="376">
        <v>0</v>
      </c>
      <c r="AL15" s="387">
        <v>0</v>
      </c>
      <c r="AM15" s="368">
        <f t="shared" si="22"/>
        <v>0</v>
      </c>
      <c r="AN15" s="376">
        <v>0</v>
      </c>
      <c r="AO15" s="379">
        <v>0</v>
      </c>
      <c r="AP15" s="172">
        <f t="shared" si="23"/>
        <v>0</v>
      </c>
      <c r="AQ15" s="202" t="str">
        <f t="shared" si="24"/>
        <v>no data</v>
      </c>
      <c r="AR15" s="199">
        <f t="shared" si="25"/>
        <v>0</v>
      </c>
      <c r="AS15" s="13"/>
      <c r="AT15" s="182">
        <v>0</v>
      </c>
      <c r="AU15" s="159">
        <v>0</v>
      </c>
      <c r="AV15" s="174">
        <v>0</v>
      </c>
      <c r="AW15" s="174">
        <v>0</v>
      </c>
      <c r="AX15" s="159">
        <v>0</v>
      </c>
      <c r="AY15" s="174">
        <v>0</v>
      </c>
      <c r="AZ15" s="159">
        <v>0</v>
      </c>
      <c r="BA15" s="4"/>
      <c r="BB15" s="159">
        <v>0</v>
      </c>
      <c r="BC15" s="159">
        <v>0</v>
      </c>
      <c r="BD15" s="159">
        <v>0</v>
      </c>
      <c r="BE15" s="175">
        <v>0</v>
      </c>
      <c r="BF15" s="176" t="str">
        <f t="shared" si="26"/>
        <v>no data</v>
      </c>
      <c r="BG15" s="177">
        <f t="shared" si="27"/>
        <v>0</v>
      </c>
      <c r="BH15" s="178">
        <v>0</v>
      </c>
      <c r="BI15" s="156">
        <v>0</v>
      </c>
      <c r="BJ15" s="177">
        <v>0</v>
      </c>
      <c r="BK15" s="175">
        <v>0</v>
      </c>
      <c r="BL15" s="175">
        <v>0</v>
      </c>
      <c r="BM15" s="175">
        <v>0</v>
      </c>
      <c r="BN15" s="179">
        <v>1003</v>
      </c>
      <c r="BO15" s="179">
        <v>0</v>
      </c>
      <c r="BP15" s="180">
        <v>0</v>
      </c>
      <c r="BQ15" s="177">
        <v>0</v>
      </c>
      <c r="BR15" s="177">
        <v>0</v>
      </c>
      <c r="BS15" s="49">
        <v>0</v>
      </c>
      <c r="BT15" s="175">
        <v>0</v>
      </c>
      <c r="BU15" s="175">
        <v>0</v>
      </c>
      <c r="BV15" s="51">
        <v>0</v>
      </c>
      <c r="BW15" s="175">
        <v>0</v>
      </c>
      <c r="BX15" s="177">
        <v>0</v>
      </c>
      <c r="BY15" s="177">
        <v>0</v>
      </c>
      <c r="CA15" s="177">
        <v>0</v>
      </c>
      <c r="CB15" s="177">
        <v>0</v>
      </c>
      <c r="CD15" s="177">
        <v>0</v>
      </c>
      <c r="CE15" s="177">
        <v>0</v>
      </c>
      <c r="CF15" s="177">
        <v>0</v>
      </c>
      <c r="CG15" s="177">
        <v>0</v>
      </c>
    </row>
    <row r="16" spans="1:85">
      <c r="A16" s="452"/>
      <c r="B16" s="24">
        <v>43412</v>
      </c>
      <c r="C16" s="157">
        <v>70.400000000000006</v>
      </c>
      <c r="D16" s="197">
        <v>0.48599999999999999</v>
      </c>
      <c r="E16" s="171">
        <v>53.8</v>
      </c>
      <c r="F16" s="183">
        <v>88</v>
      </c>
      <c r="G16" s="183">
        <v>59</v>
      </c>
      <c r="H16" s="160">
        <v>0</v>
      </c>
      <c r="I16" s="160">
        <v>0</v>
      </c>
      <c r="J16" s="160">
        <v>0</v>
      </c>
      <c r="K16" s="160">
        <v>0</v>
      </c>
      <c r="L16" s="161">
        <v>0</v>
      </c>
      <c r="M16" s="161">
        <v>0</v>
      </c>
      <c r="N16" s="161">
        <v>0</v>
      </c>
      <c r="O16" s="161">
        <v>0</v>
      </c>
      <c r="P16" s="161">
        <v>0</v>
      </c>
      <c r="Q16" s="161">
        <v>0</v>
      </c>
      <c r="R16" s="162">
        <v>3720</v>
      </c>
      <c r="S16" s="163">
        <v>0</v>
      </c>
      <c r="T16" s="163">
        <v>0</v>
      </c>
      <c r="U16" s="164">
        <v>0</v>
      </c>
      <c r="V16" s="164">
        <v>0</v>
      </c>
      <c r="W16" s="159">
        <v>43</v>
      </c>
      <c r="X16" s="183">
        <v>1440</v>
      </c>
      <c r="Y16" s="183">
        <v>46</v>
      </c>
      <c r="Z16" s="183">
        <v>1440</v>
      </c>
      <c r="AA16" s="183">
        <v>60</v>
      </c>
      <c r="AB16" s="183">
        <v>1440</v>
      </c>
      <c r="AC16" s="165">
        <f t="shared" si="31"/>
        <v>8</v>
      </c>
      <c r="AD16" s="166">
        <f t="shared" si="16"/>
        <v>0</v>
      </c>
      <c r="AE16" s="159">
        <v>0</v>
      </c>
      <c r="AF16" s="167" t="str">
        <f t="shared" si="17"/>
        <v>no data</v>
      </c>
      <c r="AG16" s="168">
        <f t="shared" si="18"/>
        <v>155</v>
      </c>
      <c r="AH16" s="167" t="str">
        <f t="shared" si="19"/>
        <v>no data</v>
      </c>
      <c r="AI16" s="169">
        <f t="shared" si="20"/>
        <v>0</v>
      </c>
      <c r="AJ16" s="170" t="str">
        <f t="shared" si="21"/>
        <v>no data</v>
      </c>
      <c r="AK16" s="376">
        <v>0</v>
      </c>
      <c r="AL16" s="387">
        <v>0</v>
      </c>
      <c r="AM16" s="368">
        <f t="shared" si="22"/>
        <v>0</v>
      </c>
      <c r="AN16" s="376">
        <v>0</v>
      </c>
      <c r="AO16" s="379">
        <v>0</v>
      </c>
      <c r="AP16" s="172">
        <f t="shared" si="23"/>
        <v>0</v>
      </c>
      <c r="AQ16" s="202" t="str">
        <f t="shared" si="24"/>
        <v>no data</v>
      </c>
      <c r="AR16" s="199">
        <f t="shared" si="25"/>
        <v>0</v>
      </c>
      <c r="AS16" s="13"/>
      <c r="AT16" s="159">
        <v>0</v>
      </c>
      <c r="AU16" s="174">
        <v>0</v>
      </c>
      <c r="AV16" s="174">
        <v>0</v>
      </c>
      <c r="AW16" s="159">
        <v>0</v>
      </c>
      <c r="AX16" s="174">
        <v>0</v>
      </c>
      <c r="AY16" s="159">
        <v>0</v>
      </c>
      <c r="AZ16" s="159">
        <v>8</v>
      </c>
      <c r="BA16" s="4"/>
      <c r="BB16" s="175">
        <v>0</v>
      </c>
      <c r="BC16" s="175">
        <v>0</v>
      </c>
      <c r="BD16" s="184">
        <v>0</v>
      </c>
      <c r="BE16" s="175">
        <v>0</v>
      </c>
      <c r="BF16" s="177" t="str">
        <f t="shared" si="26"/>
        <v>no data</v>
      </c>
      <c r="BG16" s="177">
        <f t="shared" si="27"/>
        <v>0</v>
      </c>
      <c r="BH16" s="178">
        <v>0</v>
      </c>
      <c r="BI16" s="156">
        <v>0</v>
      </c>
      <c r="BJ16" s="177">
        <v>0</v>
      </c>
      <c r="BK16" s="175">
        <v>0</v>
      </c>
      <c r="BL16" s="175">
        <v>0</v>
      </c>
      <c r="BM16" s="175">
        <v>0</v>
      </c>
      <c r="BN16" s="179">
        <v>1003</v>
      </c>
      <c r="BO16" s="179">
        <v>0</v>
      </c>
      <c r="BP16" s="185">
        <v>0</v>
      </c>
      <c r="BQ16" s="177">
        <v>0</v>
      </c>
      <c r="BR16" s="177">
        <v>0</v>
      </c>
      <c r="BS16" s="49">
        <f t="shared" si="28"/>
        <v>0</v>
      </c>
      <c r="BT16" s="175">
        <v>0</v>
      </c>
      <c r="BU16" s="175">
        <v>0</v>
      </c>
      <c r="BV16" s="51">
        <f t="shared" si="29"/>
        <v>0</v>
      </c>
      <c r="BW16" s="175">
        <f t="shared" si="30"/>
        <v>0</v>
      </c>
      <c r="BX16" s="177">
        <v>0</v>
      </c>
      <c r="BY16" s="177">
        <v>0</v>
      </c>
      <c r="CA16" s="177">
        <v>0</v>
      </c>
      <c r="CB16" s="177">
        <v>0</v>
      </c>
      <c r="CD16" s="177">
        <v>0</v>
      </c>
      <c r="CE16" s="177">
        <v>0</v>
      </c>
      <c r="CF16" s="177">
        <v>0</v>
      </c>
      <c r="CG16" s="177">
        <v>0</v>
      </c>
    </row>
    <row r="17" spans="1:85">
      <c r="A17" s="452"/>
      <c r="B17" s="24">
        <v>43413</v>
      </c>
      <c r="C17" s="157">
        <v>69.7</v>
      </c>
      <c r="D17" s="197">
        <v>0.53300000000000003</v>
      </c>
      <c r="E17" s="171">
        <v>54.7</v>
      </c>
      <c r="F17" s="159">
        <v>83</v>
      </c>
      <c r="G17" s="159">
        <v>58</v>
      </c>
      <c r="H17" s="159">
        <v>0</v>
      </c>
      <c r="I17" s="159">
        <v>0</v>
      </c>
      <c r="J17" s="159">
        <v>0</v>
      </c>
      <c r="K17" s="159">
        <v>0</v>
      </c>
      <c r="L17" s="161">
        <v>0</v>
      </c>
      <c r="M17" s="161">
        <v>0</v>
      </c>
      <c r="N17" s="161">
        <v>0</v>
      </c>
      <c r="O17" s="161">
        <v>0</v>
      </c>
      <c r="P17" s="161">
        <v>0</v>
      </c>
      <c r="Q17" s="161">
        <v>0</v>
      </c>
      <c r="R17" s="162">
        <v>3720</v>
      </c>
      <c r="S17" s="163">
        <v>0</v>
      </c>
      <c r="T17" s="163">
        <v>0</v>
      </c>
      <c r="U17" s="164">
        <v>0</v>
      </c>
      <c r="V17" s="164">
        <v>0</v>
      </c>
      <c r="W17" s="159">
        <v>43</v>
      </c>
      <c r="X17" s="159">
        <v>1440</v>
      </c>
      <c r="Y17" s="159">
        <v>46</v>
      </c>
      <c r="Z17" s="159">
        <v>1440</v>
      </c>
      <c r="AA17" s="159">
        <v>60</v>
      </c>
      <c r="AB17" s="159">
        <v>1440</v>
      </c>
      <c r="AC17" s="165">
        <f t="shared" si="31"/>
        <v>8</v>
      </c>
      <c r="AD17" s="166">
        <f t="shared" si="16"/>
        <v>0</v>
      </c>
      <c r="AE17" s="159">
        <v>0</v>
      </c>
      <c r="AF17" s="167" t="str">
        <f t="shared" si="17"/>
        <v>no data</v>
      </c>
      <c r="AG17" s="168">
        <f t="shared" si="18"/>
        <v>155</v>
      </c>
      <c r="AH17" s="167" t="str">
        <f t="shared" si="19"/>
        <v>no data</v>
      </c>
      <c r="AI17" s="169">
        <f t="shared" si="20"/>
        <v>0</v>
      </c>
      <c r="AJ17" s="170" t="str">
        <f t="shared" si="21"/>
        <v>no data</v>
      </c>
      <c r="AK17" s="376">
        <v>0</v>
      </c>
      <c r="AL17" s="387">
        <v>0</v>
      </c>
      <c r="AM17" s="368">
        <f t="shared" si="22"/>
        <v>0</v>
      </c>
      <c r="AN17" s="376">
        <v>0</v>
      </c>
      <c r="AO17" s="383">
        <v>0</v>
      </c>
      <c r="AP17" s="172">
        <f t="shared" si="23"/>
        <v>0</v>
      </c>
      <c r="AQ17" s="202" t="str">
        <f t="shared" si="24"/>
        <v>no data</v>
      </c>
      <c r="AR17" s="199">
        <f t="shared" si="25"/>
        <v>0</v>
      </c>
      <c r="AS17" s="13"/>
      <c r="AT17" s="159">
        <v>0</v>
      </c>
      <c r="AU17" s="159">
        <v>0</v>
      </c>
      <c r="AV17" s="159">
        <v>0</v>
      </c>
      <c r="AW17" s="159">
        <v>0</v>
      </c>
      <c r="AX17" s="159">
        <v>0</v>
      </c>
      <c r="AY17" s="159">
        <v>0</v>
      </c>
      <c r="AZ17" s="159">
        <v>8</v>
      </c>
      <c r="BA17" s="4"/>
      <c r="BB17" s="175">
        <v>0</v>
      </c>
      <c r="BC17" s="175">
        <v>0</v>
      </c>
      <c r="BD17" s="175">
        <v>0</v>
      </c>
      <c r="BE17" s="175">
        <f>BC17-BB17</f>
        <v>0</v>
      </c>
      <c r="BF17" s="177" t="str">
        <f t="shared" si="26"/>
        <v>no data</v>
      </c>
      <c r="BG17" s="177">
        <f t="shared" si="27"/>
        <v>0</v>
      </c>
      <c r="BH17" s="178">
        <v>0</v>
      </c>
      <c r="BI17" s="156">
        <v>0</v>
      </c>
      <c r="BJ17" s="177">
        <v>0</v>
      </c>
      <c r="BK17" s="175">
        <v>0</v>
      </c>
      <c r="BL17" s="175">
        <v>0</v>
      </c>
      <c r="BM17" s="175">
        <v>0</v>
      </c>
      <c r="BN17" s="179">
        <v>1003</v>
      </c>
      <c r="BO17" s="179">
        <v>0</v>
      </c>
      <c r="BP17" s="185">
        <v>0</v>
      </c>
      <c r="BQ17" s="177">
        <v>0</v>
      </c>
      <c r="BR17" s="177">
        <v>0</v>
      </c>
      <c r="BS17" s="49">
        <f t="shared" si="28"/>
        <v>0</v>
      </c>
      <c r="BT17" s="175">
        <v>0</v>
      </c>
      <c r="BU17" s="175">
        <v>0</v>
      </c>
      <c r="BV17" s="51">
        <f t="shared" si="29"/>
        <v>0</v>
      </c>
      <c r="BW17" s="175">
        <f t="shared" si="30"/>
        <v>0</v>
      </c>
      <c r="BX17" s="177">
        <v>0</v>
      </c>
      <c r="BY17" s="177">
        <v>0</v>
      </c>
      <c r="CA17" s="177">
        <v>0</v>
      </c>
      <c r="CB17" s="177">
        <v>0</v>
      </c>
      <c r="CD17" s="177">
        <v>0</v>
      </c>
      <c r="CE17" s="177">
        <v>0</v>
      </c>
      <c r="CF17" s="177">
        <v>0</v>
      </c>
      <c r="CG17" s="177">
        <v>0</v>
      </c>
    </row>
    <row r="18" spans="1:85">
      <c r="A18" s="452"/>
      <c r="B18" s="24">
        <v>43414</v>
      </c>
      <c r="C18" s="157">
        <v>68.900000000000006</v>
      </c>
      <c r="D18" s="197">
        <v>0.61599999999999999</v>
      </c>
      <c r="E18" s="171">
        <v>56.8</v>
      </c>
      <c r="F18" s="159">
        <v>80</v>
      </c>
      <c r="G18" s="159">
        <v>59</v>
      </c>
      <c r="H18" s="159">
        <v>0</v>
      </c>
      <c r="I18" s="159">
        <v>0</v>
      </c>
      <c r="J18" s="159">
        <v>0</v>
      </c>
      <c r="K18" s="159">
        <v>0</v>
      </c>
      <c r="L18" s="161">
        <v>0</v>
      </c>
      <c r="M18" s="161">
        <v>0</v>
      </c>
      <c r="N18" s="161">
        <v>0</v>
      </c>
      <c r="O18" s="161">
        <v>0</v>
      </c>
      <c r="P18" s="161">
        <v>0</v>
      </c>
      <c r="Q18" s="161">
        <v>0</v>
      </c>
      <c r="R18" s="162">
        <v>3720</v>
      </c>
      <c r="S18" s="163">
        <v>0</v>
      </c>
      <c r="T18" s="163">
        <v>0</v>
      </c>
      <c r="U18" s="164">
        <v>0</v>
      </c>
      <c r="V18" s="164">
        <v>0</v>
      </c>
      <c r="W18" s="159">
        <v>43</v>
      </c>
      <c r="X18" s="159">
        <v>1440</v>
      </c>
      <c r="Y18" s="159">
        <v>46</v>
      </c>
      <c r="Z18" s="159">
        <v>1440</v>
      </c>
      <c r="AA18" s="159">
        <v>60</v>
      </c>
      <c r="AB18" s="159">
        <v>1440</v>
      </c>
      <c r="AC18" s="165">
        <f t="shared" si="31"/>
        <v>8</v>
      </c>
      <c r="AD18" s="166">
        <f t="shared" si="16"/>
        <v>0</v>
      </c>
      <c r="AE18" s="159">
        <v>0</v>
      </c>
      <c r="AF18" s="167" t="str">
        <f t="shared" si="17"/>
        <v>no data</v>
      </c>
      <c r="AG18" s="168">
        <f t="shared" si="18"/>
        <v>155</v>
      </c>
      <c r="AH18" s="167" t="str">
        <f t="shared" si="19"/>
        <v>no data</v>
      </c>
      <c r="AI18" s="169">
        <f t="shared" si="20"/>
        <v>0</v>
      </c>
      <c r="AJ18" s="170" t="str">
        <f t="shared" si="21"/>
        <v>no data</v>
      </c>
      <c r="AK18" s="376">
        <v>0</v>
      </c>
      <c r="AL18" s="387">
        <v>0</v>
      </c>
      <c r="AM18" s="368">
        <f t="shared" si="22"/>
        <v>0</v>
      </c>
      <c r="AN18" s="376">
        <v>0</v>
      </c>
      <c r="AO18" s="383">
        <v>0</v>
      </c>
      <c r="AP18" s="172">
        <f t="shared" si="23"/>
        <v>0</v>
      </c>
      <c r="AQ18" s="202" t="str">
        <f t="shared" si="24"/>
        <v>no data</v>
      </c>
      <c r="AR18" s="199">
        <f t="shared" si="25"/>
        <v>0</v>
      </c>
      <c r="AS18" s="13"/>
      <c r="AT18" s="159">
        <v>0</v>
      </c>
      <c r="AU18" s="159">
        <v>0</v>
      </c>
      <c r="AV18" s="159">
        <v>0</v>
      </c>
      <c r="AW18" s="159">
        <v>0</v>
      </c>
      <c r="AX18" s="159">
        <v>0</v>
      </c>
      <c r="AY18" s="159">
        <v>0</v>
      </c>
      <c r="AZ18" s="159">
        <v>8</v>
      </c>
      <c r="BA18" s="4"/>
      <c r="BB18" s="175">
        <v>0</v>
      </c>
      <c r="BC18" s="175">
        <v>0</v>
      </c>
      <c r="BD18" s="175">
        <v>0</v>
      </c>
      <c r="BE18" s="175">
        <f>BC18-BB18</f>
        <v>0</v>
      </c>
      <c r="BF18" s="177" t="str">
        <f t="shared" si="26"/>
        <v>no data</v>
      </c>
      <c r="BG18" s="177">
        <f t="shared" si="27"/>
        <v>0</v>
      </c>
      <c r="BH18" s="178">
        <v>0</v>
      </c>
      <c r="BI18" s="156">
        <v>0</v>
      </c>
      <c r="BJ18" s="177">
        <v>0</v>
      </c>
      <c r="BK18" s="175">
        <v>0</v>
      </c>
      <c r="BL18" s="175">
        <v>0</v>
      </c>
      <c r="BM18" s="175">
        <v>0</v>
      </c>
      <c r="BN18" s="179">
        <v>1003</v>
      </c>
      <c r="BO18" s="179">
        <v>0</v>
      </c>
      <c r="BP18" s="185">
        <v>0</v>
      </c>
      <c r="BQ18" s="177">
        <v>0</v>
      </c>
      <c r="BR18" s="186">
        <v>0</v>
      </c>
      <c r="BS18" s="49">
        <f t="shared" si="28"/>
        <v>0</v>
      </c>
      <c r="BT18" s="175">
        <v>0</v>
      </c>
      <c r="BU18" s="175">
        <v>0</v>
      </c>
      <c r="BV18" s="51">
        <f t="shared" si="29"/>
        <v>0</v>
      </c>
      <c r="BW18" s="175">
        <f t="shared" si="30"/>
        <v>0</v>
      </c>
      <c r="BX18" s="177">
        <v>0</v>
      </c>
      <c r="BY18" s="177">
        <v>0</v>
      </c>
      <c r="CA18" s="177">
        <v>0</v>
      </c>
      <c r="CB18" s="177">
        <v>0</v>
      </c>
      <c r="CD18" s="177">
        <v>0</v>
      </c>
      <c r="CE18" s="177">
        <v>0</v>
      </c>
      <c r="CF18" s="177">
        <v>0</v>
      </c>
      <c r="CG18" s="177">
        <v>0</v>
      </c>
    </row>
    <row r="19" spans="1:85">
      <c r="A19" s="453"/>
      <c r="B19" s="24">
        <v>43415</v>
      </c>
      <c r="C19" s="157">
        <v>68.7</v>
      </c>
      <c r="D19" s="197">
        <v>0.65500000000000003</v>
      </c>
      <c r="E19" s="171">
        <v>57.7</v>
      </c>
      <c r="F19" s="159">
        <v>76</v>
      </c>
      <c r="G19" s="159">
        <v>65</v>
      </c>
      <c r="H19" s="159">
        <v>0</v>
      </c>
      <c r="I19" s="159">
        <v>0</v>
      </c>
      <c r="J19" s="159">
        <v>0</v>
      </c>
      <c r="K19" s="159">
        <v>0</v>
      </c>
      <c r="L19" s="161">
        <v>0</v>
      </c>
      <c r="M19" s="161">
        <v>0</v>
      </c>
      <c r="N19" s="161">
        <v>0</v>
      </c>
      <c r="O19" s="161">
        <v>0</v>
      </c>
      <c r="P19" s="161">
        <v>0</v>
      </c>
      <c r="Q19" s="161">
        <v>0</v>
      </c>
      <c r="R19" s="162">
        <v>3720</v>
      </c>
      <c r="S19" s="163">
        <v>0</v>
      </c>
      <c r="T19" s="163">
        <v>0</v>
      </c>
      <c r="U19" s="164">
        <v>0</v>
      </c>
      <c r="V19" s="164">
        <v>0</v>
      </c>
      <c r="W19" s="159">
        <v>43</v>
      </c>
      <c r="X19" s="159">
        <v>1440</v>
      </c>
      <c r="Y19" s="159">
        <v>46</v>
      </c>
      <c r="Z19" s="159">
        <v>1440</v>
      </c>
      <c r="AA19" s="159">
        <v>60</v>
      </c>
      <c r="AB19" s="159">
        <v>1440</v>
      </c>
      <c r="AC19" s="165">
        <f>V19-U19+AZ19</f>
        <v>6</v>
      </c>
      <c r="AD19" s="166">
        <f>U19-T19</f>
        <v>0</v>
      </c>
      <c r="AE19" s="159">
        <v>0</v>
      </c>
      <c r="AF19" s="167" t="str">
        <f>IF(AE19&gt;0, V19/(AE19*24),"no data")</f>
        <v>no data</v>
      </c>
      <c r="AG19" s="168">
        <f>IF(R19&gt;0,R19/24,"no data")</f>
        <v>155</v>
      </c>
      <c r="AH19" s="167" t="str">
        <f>IF(U19&gt;0,(U19/R19),"no data")</f>
        <v>no data</v>
      </c>
      <c r="AI19" s="169">
        <f>(1440-((W19*X19)+(Y19*Z19)+(AA19*AB19))/(W19+Y19+AA19))/1440</f>
        <v>0</v>
      </c>
      <c r="AJ19" s="170" t="str">
        <f>IF(U19&gt;0,(1440-((X19*W19+AT19*AU19)+(Z19*Y19+AV19*AW19)+(AA19*AB19+AX19*AY19))/(W19+Y19+AA19))/1440,"no data")</f>
        <v>no data</v>
      </c>
      <c r="AK19" s="376">
        <v>0</v>
      </c>
      <c r="AL19" s="387">
        <v>0</v>
      </c>
      <c r="AM19" s="368">
        <f>AK19*AL19</f>
        <v>0</v>
      </c>
      <c r="AN19" s="376">
        <v>0</v>
      </c>
      <c r="AO19" s="383">
        <v>0</v>
      </c>
      <c r="AP19" s="172">
        <f>AN19*AO19</f>
        <v>0</v>
      </c>
      <c r="AQ19" s="202" t="str">
        <f>IF(U19&gt;0,((((AK19*AL19)+(AN19*AO19))/(U19*1000))*1000000),"no data")</f>
        <v>no data</v>
      </c>
      <c r="AR19" s="199">
        <f>S19/24</f>
        <v>0</v>
      </c>
      <c r="AS19" s="13"/>
      <c r="AT19" s="159">
        <v>0</v>
      </c>
      <c r="AU19" s="159">
        <v>0</v>
      </c>
      <c r="AV19" s="159">
        <v>0</v>
      </c>
      <c r="AW19" s="159">
        <v>0</v>
      </c>
      <c r="AX19" s="159">
        <v>0</v>
      </c>
      <c r="AY19" s="159">
        <v>0</v>
      </c>
      <c r="AZ19" s="159">
        <v>6</v>
      </c>
      <c r="BA19" s="4"/>
      <c r="BB19" s="175">
        <v>0</v>
      </c>
      <c r="BC19" s="175">
        <v>0</v>
      </c>
      <c r="BD19" s="175">
        <v>0</v>
      </c>
      <c r="BE19" s="175">
        <f>BC19-BB19</f>
        <v>0</v>
      </c>
      <c r="BF19" s="177" t="str">
        <f>AQ19</f>
        <v>no data</v>
      </c>
      <c r="BG19" s="177">
        <f>BD19/24</f>
        <v>0</v>
      </c>
      <c r="BH19" s="178">
        <v>0</v>
      </c>
      <c r="BI19" s="156">
        <v>0</v>
      </c>
      <c r="BJ19" s="177">
        <v>0</v>
      </c>
      <c r="BK19" s="175">
        <v>0</v>
      </c>
      <c r="BL19" s="175">
        <v>0</v>
      </c>
      <c r="BM19" s="175">
        <v>0</v>
      </c>
      <c r="BN19" s="179">
        <v>1003</v>
      </c>
      <c r="BO19" s="179">
        <v>0</v>
      </c>
      <c r="BP19" s="185">
        <v>0</v>
      </c>
      <c r="BQ19" s="177">
        <v>0</v>
      </c>
      <c r="BR19" s="186">
        <v>0</v>
      </c>
      <c r="BS19" s="49">
        <f>BR19-BQ19</f>
        <v>0</v>
      </c>
      <c r="BT19" s="175">
        <v>0</v>
      </c>
      <c r="BU19" s="175">
        <v>0</v>
      </c>
      <c r="BV19" s="51">
        <f>BU19-BT19</f>
        <v>0</v>
      </c>
      <c r="BW19" s="175">
        <f>BH19+BI19</f>
        <v>0</v>
      </c>
      <c r="BX19" s="177">
        <v>0</v>
      </c>
      <c r="BY19" s="177">
        <v>0</v>
      </c>
      <c r="CA19" s="177">
        <v>0</v>
      </c>
      <c r="CB19" s="177">
        <v>0</v>
      </c>
      <c r="CD19" s="177">
        <v>0</v>
      </c>
      <c r="CE19" s="177">
        <v>0</v>
      </c>
      <c r="CF19" s="177">
        <v>0</v>
      </c>
      <c r="CG19" s="177">
        <v>0</v>
      </c>
    </row>
    <row r="20" spans="1:85" ht="12.75" customHeight="1">
      <c r="A20" s="451" t="s">
        <v>318</v>
      </c>
      <c r="B20" s="24">
        <v>43416</v>
      </c>
      <c r="C20" s="25">
        <v>67.11</v>
      </c>
      <c r="D20" s="26">
        <v>0.66500000000000004</v>
      </c>
      <c r="E20" s="38">
        <v>57.38</v>
      </c>
      <c r="F20" s="27">
        <v>75</v>
      </c>
      <c r="G20" s="27">
        <v>61</v>
      </c>
      <c r="H20" s="27">
        <v>0</v>
      </c>
      <c r="I20" s="27">
        <v>0</v>
      </c>
      <c r="J20" s="27">
        <v>0</v>
      </c>
      <c r="K20" s="27">
        <v>0</v>
      </c>
      <c r="L20" s="27">
        <v>0</v>
      </c>
      <c r="M20" s="27">
        <v>0</v>
      </c>
      <c r="N20" s="29">
        <v>0</v>
      </c>
      <c r="O20" s="29">
        <v>0</v>
      </c>
      <c r="P20" s="29">
        <v>0</v>
      </c>
      <c r="Q20" s="29">
        <v>0</v>
      </c>
      <c r="R20" s="58">
        <v>3720</v>
      </c>
      <c r="S20" s="30">
        <v>0</v>
      </c>
      <c r="T20" s="30">
        <v>0</v>
      </c>
      <c r="U20" s="59">
        <v>0</v>
      </c>
      <c r="V20" s="31">
        <v>0</v>
      </c>
      <c r="W20" s="27">
        <v>43</v>
      </c>
      <c r="X20" s="27">
        <v>1440</v>
      </c>
      <c r="Y20" s="27">
        <v>46</v>
      </c>
      <c r="Z20" s="27">
        <v>1440</v>
      </c>
      <c r="AA20" s="27">
        <v>60</v>
      </c>
      <c r="AB20" s="27">
        <v>1440</v>
      </c>
      <c r="AC20" s="32">
        <f t="shared" si="31"/>
        <v>8</v>
      </c>
      <c r="AD20" s="33">
        <f t="shared" si="16"/>
        <v>0</v>
      </c>
      <c r="AE20" s="27">
        <v>0</v>
      </c>
      <c r="AF20" s="34" t="str">
        <f t="shared" si="17"/>
        <v>no data</v>
      </c>
      <c r="AG20" s="35">
        <f t="shared" si="18"/>
        <v>155</v>
      </c>
      <c r="AH20" s="34" t="str">
        <f t="shared" si="19"/>
        <v>no data</v>
      </c>
      <c r="AI20" s="36">
        <f t="shared" si="20"/>
        <v>0</v>
      </c>
      <c r="AJ20" s="37" t="str">
        <f t="shared" si="21"/>
        <v>no data</v>
      </c>
      <c r="AK20" s="378">
        <v>0</v>
      </c>
      <c r="AL20" s="388">
        <v>0</v>
      </c>
      <c r="AM20" s="38">
        <f t="shared" si="22"/>
        <v>0</v>
      </c>
      <c r="AN20" s="378">
        <v>0</v>
      </c>
      <c r="AO20" s="384">
        <v>0</v>
      </c>
      <c r="AP20" s="39">
        <f t="shared" si="23"/>
        <v>0</v>
      </c>
      <c r="AQ20" s="201" t="str">
        <f t="shared" si="24"/>
        <v>no data</v>
      </c>
      <c r="AR20" s="198">
        <f t="shared" si="25"/>
        <v>0</v>
      </c>
      <c r="AS20" s="13"/>
      <c r="AT20" s="27">
        <v>0</v>
      </c>
      <c r="AU20" s="40">
        <v>0</v>
      </c>
      <c r="AV20" s="40">
        <v>0</v>
      </c>
      <c r="AW20" s="27">
        <v>0</v>
      </c>
      <c r="AX20" s="40">
        <v>0</v>
      </c>
      <c r="AY20" s="27">
        <v>0</v>
      </c>
      <c r="AZ20" s="27">
        <v>8</v>
      </c>
      <c r="BA20" s="4"/>
      <c r="BB20" s="52">
        <v>0</v>
      </c>
      <c r="BC20" s="52">
        <v>0</v>
      </c>
      <c r="BD20" s="52">
        <v>0</v>
      </c>
      <c r="BE20" s="41">
        <f>BC20-BB20</f>
        <v>0</v>
      </c>
      <c r="BF20" s="41" t="str">
        <f t="shared" si="26"/>
        <v>no data</v>
      </c>
      <c r="BG20" s="60">
        <f t="shared" si="27"/>
        <v>0</v>
      </c>
      <c r="BH20" s="61">
        <v>0</v>
      </c>
      <c r="BI20" s="62">
        <v>0</v>
      </c>
      <c r="BJ20" s="42">
        <v>0</v>
      </c>
      <c r="BK20" s="41">
        <v>0</v>
      </c>
      <c r="BL20" s="41">
        <v>0</v>
      </c>
      <c r="BM20" s="41">
        <v>0</v>
      </c>
      <c r="BN20" s="63">
        <v>1003</v>
      </c>
      <c r="BO20" s="63">
        <v>0</v>
      </c>
      <c r="BP20" s="64">
        <v>0</v>
      </c>
      <c r="BQ20" s="42">
        <v>0</v>
      </c>
      <c r="BR20" s="42">
        <v>0</v>
      </c>
      <c r="BS20" s="49">
        <f t="shared" si="28"/>
        <v>0</v>
      </c>
      <c r="BT20" s="41">
        <v>0</v>
      </c>
      <c r="BU20" s="41">
        <v>0</v>
      </c>
      <c r="BV20" s="51">
        <f t="shared" si="29"/>
        <v>0</v>
      </c>
      <c r="BW20" s="41">
        <f t="shared" si="30"/>
        <v>0</v>
      </c>
      <c r="BX20" s="42">
        <v>0</v>
      </c>
      <c r="BY20" s="42">
        <v>0</v>
      </c>
      <c r="CA20" s="42">
        <v>0</v>
      </c>
      <c r="CB20" s="42">
        <v>0</v>
      </c>
      <c r="CD20" s="42">
        <v>0</v>
      </c>
      <c r="CE20" s="42">
        <v>0</v>
      </c>
      <c r="CF20" s="42">
        <v>0</v>
      </c>
      <c r="CG20" s="42">
        <v>0</v>
      </c>
    </row>
    <row r="21" spans="1:85">
      <c r="A21" s="452"/>
      <c r="B21" s="24">
        <v>43417</v>
      </c>
      <c r="C21" s="25">
        <v>69</v>
      </c>
      <c r="D21" s="26">
        <v>0.63990000000000002</v>
      </c>
      <c r="E21" s="38">
        <v>58.07</v>
      </c>
      <c r="F21" s="27">
        <v>77</v>
      </c>
      <c r="G21" s="27">
        <v>62</v>
      </c>
      <c r="H21" s="27">
        <v>0</v>
      </c>
      <c r="I21" s="27">
        <v>0</v>
      </c>
      <c r="J21" s="27">
        <v>0</v>
      </c>
      <c r="K21" s="27">
        <v>0</v>
      </c>
      <c r="L21" s="29">
        <v>0</v>
      </c>
      <c r="M21" s="29">
        <v>0</v>
      </c>
      <c r="N21" s="29">
        <v>0</v>
      </c>
      <c r="O21" s="29">
        <v>0</v>
      </c>
      <c r="P21" s="29">
        <v>0</v>
      </c>
      <c r="Q21" s="29">
        <v>0</v>
      </c>
      <c r="R21" s="58">
        <v>3720</v>
      </c>
      <c r="S21" s="30">
        <v>0</v>
      </c>
      <c r="T21" s="30">
        <v>0</v>
      </c>
      <c r="U21" s="59">
        <v>0</v>
      </c>
      <c r="V21" s="31">
        <v>0</v>
      </c>
      <c r="W21" s="27">
        <v>43</v>
      </c>
      <c r="X21" s="27">
        <v>1440</v>
      </c>
      <c r="Y21" s="27">
        <v>46</v>
      </c>
      <c r="Z21" s="27">
        <v>1440</v>
      </c>
      <c r="AA21" s="27">
        <v>60</v>
      </c>
      <c r="AB21" s="27">
        <v>1440</v>
      </c>
      <c r="AC21" s="32">
        <f t="shared" si="31"/>
        <v>7</v>
      </c>
      <c r="AD21" s="33">
        <v>0</v>
      </c>
      <c r="AE21" s="27">
        <v>0</v>
      </c>
      <c r="AF21" s="34" t="s">
        <v>323</v>
      </c>
      <c r="AG21" s="35">
        <v>155</v>
      </c>
      <c r="AH21" s="34" t="s">
        <v>323</v>
      </c>
      <c r="AI21" s="36">
        <v>0</v>
      </c>
      <c r="AJ21" s="37" t="s">
        <v>323</v>
      </c>
      <c r="AK21" s="236">
        <v>0</v>
      </c>
      <c r="AL21" s="389">
        <v>0</v>
      </c>
      <c r="AM21" s="38">
        <v>0</v>
      </c>
      <c r="AN21" s="236">
        <v>0</v>
      </c>
      <c r="AO21" s="385">
        <v>0</v>
      </c>
      <c r="AP21" s="39">
        <v>0</v>
      </c>
      <c r="AQ21" s="201" t="s">
        <v>323</v>
      </c>
      <c r="AR21" s="198">
        <v>0</v>
      </c>
      <c r="AS21" s="13"/>
      <c r="AT21" s="27">
        <v>0</v>
      </c>
      <c r="AU21" s="40">
        <v>0</v>
      </c>
      <c r="AV21" s="40">
        <v>0</v>
      </c>
      <c r="AW21" s="27">
        <v>0</v>
      </c>
      <c r="AX21" s="40">
        <v>0</v>
      </c>
      <c r="AY21" s="27">
        <v>0</v>
      </c>
      <c r="AZ21" s="27">
        <v>7</v>
      </c>
      <c r="BA21" s="4"/>
      <c r="BB21" s="52">
        <v>0</v>
      </c>
      <c r="BC21" s="52">
        <v>0</v>
      </c>
      <c r="BD21" s="52">
        <v>0</v>
      </c>
      <c r="BE21" s="41">
        <v>0</v>
      </c>
      <c r="BF21" s="41" t="s">
        <v>323</v>
      </c>
      <c r="BG21" s="60">
        <v>0</v>
      </c>
      <c r="BH21" s="43">
        <v>0</v>
      </c>
      <c r="BI21" s="44">
        <v>0</v>
      </c>
      <c r="BJ21" s="45">
        <v>0</v>
      </c>
      <c r="BK21" s="47">
        <v>0</v>
      </c>
      <c r="BL21" s="47">
        <v>0</v>
      </c>
      <c r="BM21" s="47">
        <v>0</v>
      </c>
      <c r="BN21" s="47">
        <v>1003</v>
      </c>
      <c r="BO21" s="45">
        <v>0</v>
      </c>
      <c r="BP21" s="48">
        <v>0</v>
      </c>
      <c r="BQ21" s="42">
        <v>0</v>
      </c>
      <c r="BR21" s="42">
        <v>0</v>
      </c>
      <c r="BS21" s="49">
        <v>0</v>
      </c>
      <c r="BT21" s="41">
        <v>0</v>
      </c>
      <c r="BU21" s="41">
        <v>0</v>
      </c>
      <c r="BV21" s="51">
        <v>0</v>
      </c>
      <c r="BW21" s="41">
        <v>0</v>
      </c>
      <c r="BX21" s="42">
        <v>0</v>
      </c>
      <c r="BY21" s="42">
        <v>0</v>
      </c>
      <c r="CA21" s="42">
        <v>0</v>
      </c>
      <c r="CB21" s="42">
        <v>0</v>
      </c>
      <c r="CD21" s="42">
        <v>0</v>
      </c>
      <c r="CE21" s="42">
        <v>0</v>
      </c>
      <c r="CF21" s="42">
        <v>0</v>
      </c>
      <c r="CG21" s="42">
        <v>0</v>
      </c>
    </row>
    <row r="22" spans="1:85">
      <c r="A22" s="452"/>
      <c r="B22" s="24">
        <v>43418</v>
      </c>
      <c r="C22" s="25">
        <v>68.2</v>
      </c>
      <c r="D22" s="26">
        <v>0.63400000000000001</v>
      </c>
      <c r="E22" s="38">
        <v>57.2</v>
      </c>
      <c r="F22" s="27">
        <v>82</v>
      </c>
      <c r="G22" s="27">
        <v>61</v>
      </c>
      <c r="H22" s="27">
        <v>0</v>
      </c>
      <c r="I22" s="27">
        <v>0</v>
      </c>
      <c r="J22" s="27">
        <v>0</v>
      </c>
      <c r="K22" s="27">
        <v>0</v>
      </c>
      <c r="L22" s="29">
        <v>0</v>
      </c>
      <c r="M22" s="29">
        <v>0</v>
      </c>
      <c r="N22" s="29">
        <v>0</v>
      </c>
      <c r="O22" s="29">
        <v>0</v>
      </c>
      <c r="P22" s="29">
        <v>0</v>
      </c>
      <c r="Q22" s="29">
        <v>0</v>
      </c>
      <c r="R22" s="58">
        <v>3720</v>
      </c>
      <c r="S22" s="30">
        <v>0</v>
      </c>
      <c r="T22" s="30">
        <v>0</v>
      </c>
      <c r="U22" s="65">
        <v>0</v>
      </c>
      <c r="V22" s="31">
        <v>0</v>
      </c>
      <c r="W22" s="27">
        <v>43</v>
      </c>
      <c r="X22" s="27">
        <v>1440</v>
      </c>
      <c r="Y22" s="27">
        <v>46</v>
      </c>
      <c r="Z22" s="27">
        <v>1440</v>
      </c>
      <c r="AA22" s="27">
        <v>60</v>
      </c>
      <c r="AB22" s="27">
        <v>1440</v>
      </c>
      <c r="AC22" s="32">
        <f t="shared" si="31"/>
        <v>8</v>
      </c>
      <c r="AD22" s="33">
        <f t="shared" si="16"/>
        <v>0</v>
      </c>
      <c r="AE22" s="27">
        <v>0</v>
      </c>
      <c r="AF22" s="34" t="str">
        <f t="shared" si="17"/>
        <v>no data</v>
      </c>
      <c r="AG22" s="35">
        <f t="shared" si="18"/>
        <v>155</v>
      </c>
      <c r="AH22" s="34" t="str">
        <f t="shared" si="19"/>
        <v>no data</v>
      </c>
      <c r="AI22" s="36">
        <f t="shared" si="20"/>
        <v>0</v>
      </c>
      <c r="AJ22" s="37" t="str">
        <f t="shared" si="21"/>
        <v>no data</v>
      </c>
      <c r="AK22" s="235">
        <v>0</v>
      </c>
      <c r="AL22" s="386">
        <v>0</v>
      </c>
      <c r="AM22" s="38">
        <f t="shared" si="22"/>
        <v>0</v>
      </c>
      <c r="AN22" s="235">
        <v>0</v>
      </c>
      <c r="AO22" s="380">
        <v>0</v>
      </c>
      <c r="AP22" s="39">
        <f t="shared" si="23"/>
        <v>0</v>
      </c>
      <c r="AQ22" s="201" t="str">
        <f t="shared" si="24"/>
        <v>no data</v>
      </c>
      <c r="AR22" s="198">
        <f t="shared" si="25"/>
        <v>0</v>
      </c>
      <c r="AS22" s="13"/>
      <c r="AT22" s="27">
        <v>0</v>
      </c>
      <c r="AU22" s="40">
        <v>0</v>
      </c>
      <c r="AV22" s="40">
        <v>0</v>
      </c>
      <c r="AW22" s="27">
        <v>0</v>
      </c>
      <c r="AX22" s="40">
        <v>0</v>
      </c>
      <c r="AY22" s="27">
        <v>0</v>
      </c>
      <c r="AZ22" s="27">
        <v>8</v>
      </c>
      <c r="BA22" s="4"/>
      <c r="BB22" s="52">
        <v>0</v>
      </c>
      <c r="BC22" s="52">
        <v>0</v>
      </c>
      <c r="BD22" s="52">
        <v>0</v>
      </c>
      <c r="BE22" s="41">
        <v>0</v>
      </c>
      <c r="BF22" s="41" t="str">
        <f t="shared" si="26"/>
        <v>no data</v>
      </c>
      <c r="BG22" s="60">
        <f t="shared" si="27"/>
        <v>0</v>
      </c>
      <c r="BH22" s="43">
        <v>0</v>
      </c>
      <c r="BI22" s="44">
        <v>0</v>
      </c>
      <c r="BJ22" s="45">
        <v>0</v>
      </c>
      <c r="BK22" s="47">
        <v>0</v>
      </c>
      <c r="BL22" s="47">
        <v>0</v>
      </c>
      <c r="BM22" s="47">
        <v>0</v>
      </c>
      <c r="BN22" s="66">
        <v>1001</v>
      </c>
      <c r="BO22" s="45">
        <v>0</v>
      </c>
      <c r="BP22" s="48">
        <v>0</v>
      </c>
      <c r="BQ22" s="42">
        <v>0</v>
      </c>
      <c r="BR22" s="42">
        <v>0</v>
      </c>
      <c r="BS22" s="49">
        <f t="shared" si="28"/>
        <v>0</v>
      </c>
      <c r="BT22" s="41">
        <v>0</v>
      </c>
      <c r="BU22" s="41">
        <v>0</v>
      </c>
      <c r="BV22" s="51">
        <f t="shared" si="29"/>
        <v>0</v>
      </c>
      <c r="BW22" s="41">
        <f t="shared" si="30"/>
        <v>0</v>
      </c>
      <c r="BX22" s="42">
        <v>0</v>
      </c>
      <c r="BY22" s="42">
        <v>0</v>
      </c>
      <c r="CA22" s="42">
        <v>0</v>
      </c>
      <c r="CB22" s="42">
        <v>0</v>
      </c>
      <c r="CD22" s="42">
        <v>0</v>
      </c>
      <c r="CE22" s="42">
        <v>0</v>
      </c>
      <c r="CF22" s="42">
        <v>0</v>
      </c>
      <c r="CG22" s="42">
        <v>0</v>
      </c>
    </row>
    <row r="23" spans="1:85">
      <c r="A23" s="452"/>
      <c r="B23" s="24">
        <v>43419</v>
      </c>
      <c r="C23" s="25">
        <v>67.3</v>
      </c>
      <c r="D23" s="26">
        <v>0.64900000000000002</v>
      </c>
      <c r="E23" s="38">
        <v>56.9</v>
      </c>
      <c r="F23" s="27">
        <v>81</v>
      </c>
      <c r="G23" s="27">
        <v>57</v>
      </c>
      <c r="H23" s="27">
        <v>0</v>
      </c>
      <c r="I23" s="27">
        <v>0</v>
      </c>
      <c r="J23" s="27">
        <v>0</v>
      </c>
      <c r="K23" s="27">
        <v>0</v>
      </c>
      <c r="L23" s="29">
        <v>0</v>
      </c>
      <c r="M23" s="29">
        <v>0</v>
      </c>
      <c r="N23" s="29">
        <v>0</v>
      </c>
      <c r="O23" s="29">
        <v>0</v>
      </c>
      <c r="P23" s="29">
        <v>0</v>
      </c>
      <c r="Q23" s="29">
        <v>0</v>
      </c>
      <c r="R23" s="67">
        <v>3720</v>
      </c>
      <c r="S23" s="30">
        <v>0</v>
      </c>
      <c r="T23" s="30">
        <v>0</v>
      </c>
      <c r="U23" s="59">
        <v>0</v>
      </c>
      <c r="V23" s="31">
        <v>0</v>
      </c>
      <c r="W23" s="27">
        <v>43</v>
      </c>
      <c r="X23" s="27">
        <v>1440</v>
      </c>
      <c r="Y23" s="27">
        <v>46</v>
      </c>
      <c r="Z23" s="27">
        <v>1440</v>
      </c>
      <c r="AA23" s="27">
        <v>60</v>
      </c>
      <c r="AB23" s="27">
        <v>1440</v>
      </c>
      <c r="AC23" s="32">
        <f t="shared" si="31"/>
        <v>6</v>
      </c>
      <c r="AD23" s="33">
        <f t="shared" si="16"/>
        <v>0</v>
      </c>
      <c r="AE23" s="27">
        <v>0</v>
      </c>
      <c r="AF23" s="34" t="str">
        <f t="shared" si="17"/>
        <v>no data</v>
      </c>
      <c r="AG23" s="35">
        <f t="shared" si="18"/>
        <v>155</v>
      </c>
      <c r="AH23" s="34" t="str">
        <f t="shared" si="19"/>
        <v>no data</v>
      </c>
      <c r="AI23" s="36">
        <f t="shared" si="20"/>
        <v>0</v>
      </c>
      <c r="AJ23" s="37" t="str">
        <f t="shared" si="21"/>
        <v>no data</v>
      </c>
      <c r="AK23" s="235">
        <v>0</v>
      </c>
      <c r="AL23" s="386">
        <v>0</v>
      </c>
      <c r="AM23" s="38">
        <f t="shared" si="22"/>
        <v>0</v>
      </c>
      <c r="AN23" s="235">
        <v>0</v>
      </c>
      <c r="AO23" s="380">
        <v>0</v>
      </c>
      <c r="AP23" s="39">
        <f t="shared" si="23"/>
        <v>0</v>
      </c>
      <c r="AQ23" s="201" t="str">
        <f t="shared" si="24"/>
        <v>no data</v>
      </c>
      <c r="AR23" s="198">
        <f t="shared" si="25"/>
        <v>0</v>
      </c>
      <c r="AS23" s="13"/>
      <c r="AT23" s="27">
        <v>0</v>
      </c>
      <c r="AU23" s="40">
        <v>0</v>
      </c>
      <c r="AV23" s="40">
        <v>0</v>
      </c>
      <c r="AW23" s="27">
        <v>0</v>
      </c>
      <c r="AX23" s="40">
        <v>0</v>
      </c>
      <c r="AY23" s="27">
        <v>0</v>
      </c>
      <c r="AZ23" s="27">
        <v>6</v>
      </c>
      <c r="BA23" s="4"/>
      <c r="BB23" s="52">
        <v>0</v>
      </c>
      <c r="BC23" s="52">
        <v>0</v>
      </c>
      <c r="BD23" s="52">
        <v>0</v>
      </c>
      <c r="BE23" s="41">
        <v>0</v>
      </c>
      <c r="BF23" s="41" t="str">
        <f t="shared" si="26"/>
        <v>no data</v>
      </c>
      <c r="BG23" s="60">
        <f t="shared" si="27"/>
        <v>0</v>
      </c>
      <c r="BH23" s="43">
        <v>0</v>
      </c>
      <c r="BI23" s="44">
        <v>0</v>
      </c>
      <c r="BJ23" s="45">
        <v>0</v>
      </c>
      <c r="BK23" s="47">
        <v>0</v>
      </c>
      <c r="BL23" s="47">
        <v>0</v>
      </c>
      <c r="BM23" s="47">
        <v>0</v>
      </c>
      <c r="BN23" s="47">
        <v>1005</v>
      </c>
      <c r="BO23" s="45">
        <v>0</v>
      </c>
      <c r="BP23" s="48">
        <v>0</v>
      </c>
      <c r="BQ23" s="42">
        <v>0</v>
      </c>
      <c r="BR23" s="42">
        <v>0</v>
      </c>
      <c r="BS23" s="49">
        <f t="shared" si="28"/>
        <v>0</v>
      </c>
      <c r="BT23" s="41">
        <v>0</v>
      </c>
      <c r="BU23" s="41">
        <v>0</v>
      </c>
      <c r="BV23" s="51">
        <f t="shared" si="29"/>
        <v>0</v>
      </c>
      <c r="BW23" s="41">
        <f t="shared" si="30"/>
        <v>0</v>
      </c>
      <c r="BX23" s="42">
        <v>0</v>
      </c>
      <c r="BY23" s="42">
        <v>0</v>
      </c>
      <c r="CA23" s="42">
        <v>0</v>
      </c>
      <c r="CB23" s="42">
        <v>0</v>
      </c>
      <c r="CD23" s="42">
        <v>0</v>
      </c>
      <c r="CE23" s="42">
        <v>0</v>
      </c>
      <c r="CF23" s="42">
        <v>0</v>
      </c>
      <c r="CG23" s="42">
        <v>0</v>
      </c>
    </row>
    <row r="24" spans="1:85">
      <c r="A24" s="452"/>
      <c r="B24" s="24">
        <v>43420</v>
      </c>
      <c r="C24" s="25">
        <v>67.2</v>
      </c>
      <c r="D24" s="26">
        <v>0.66100000000000003</v>
      </c>
      <c r="E24" s="38">
        <v>57.2</v>
      </c>
      <c r="F24" s="28">
        <v>81</v>
      </c>
      <c r="G24" s="28">
        <v>59</v>
      </c>
      <c r="H24" s="28">
        <v>0</v>
      </c>
      <c r="I24" s="28">
        <v>0</v>
      </c>
      <c r="J24" s="28">
        <v>0</v>
      </c>
      <c r="K24" s="28">
        <v>0</v>
      </c>
      <c r="L24" s="28">
        <v>0</v>
      </c>
      <c r="M24" s="28">
        <v>0</v>
      </c>
      <c r="N24" s="28">
        <v>0</v>
      </c>
      <c r="O24" s="28">
        <v>0</v>
      </c>
      <c r="P24" s="28">
        <v>0</v>
      </c>
      <c r="Q24" s="28">
        <v>0</v>
      </c>
      <c r="R24" s="67">
        <v>3720</v>
      </c>
      <c r="S24" s="68">
        <v>0</v>
      </c>
      <c r="T24" s="69">
        <v>0</v>
      </c>
      <c r="U24" s="70">
        <v>0</v>
      </c>
      <c r="V24" s="70">
        <v>0</v>
      </c>
      <c r="W24" s="28">
        <v>43</v>
      </c>
      <c r="X24" s="28">
        <v>1440</v>
      </c>
      <c r="Y24" s="28">
        <v>46</v>
      </c>
      <c r="Z24" s="28">
        <v>1440</v>
      </c>
      <c r="AA24" s="28">
        <v>60</v>
      </c>
      <c r="AB24" s="28">
        <v>1440</v>
      </c>
      <c r="AC24" s="32">
        <f t="shared" si="31"/>
        <v>7</v>
      </c>
      <c r="AD24" s="33">
        <f t="shared" si="16"/>
        <v>0</v>
      </c>
      <c r="AE24" s="28">
        <v>0</v>
      </c>
      <c r="AF24" s="34" t="str">
        <f t="shared" si="17"/>
        <v>no data</v>
      </c>
      <c r="AG24" s="35">
        <f t="shared" si="18"/>
        <v>155</v>
      </c>
      <c r="AH24" s="34" t="str">
        <f t="shared" si="19"/>
        <v>no data</v>
      </c>
      <c r="AI24" s="36">
        <f t="shared" si="20"/>
        <v>0</v>
      </c>
      <c r="AJ24" s="37" t="str">
        <f t="shared" si="21"/>
        <v>no data</v>
      </c>
      <c r="AK24" s="235">
        <v>0</v>
      </c>
      <c r="AL24" s="386">
        <v>0</v>
      </c>
      <c r="AM24" s="38">
        <f t="shared" si="22"/>
        <v>0</v>
      </c>
      <c r="AN24" s="235">
        <v>0</v>
      </c>
      <c r="AO24" s="380">
        <v>0</v>
      </c>
      <c r="AP24" s="39">
        <f t="shared" si="23"/>
        <v>0</v>
      </c>
      <c r="AQ24" s="201" t="str">
        <f t="shared" si="24"/>
        <v>no data</v>
      </c>
      <c r="AR24" s="198">
        <f t="shared" si="25"/>
        <v>0</v>
      </c>
      <c r="AS24" s="13"/>
      <c r="AT24" s="28">
        <v>0</v>
      </c>
      <c r="AU24" s="28">
        <v>0</v>
      </c>
      <c r="AV24" s="28">
        <v>0</v>
      </c>
      <c r="AW24" s="28">
        <v>0</v>
      </c>
      <c r="AX24" s="28">
        <v>0</v>
      </c>
      <c r="AY24" s="28">
        <v>0</v>
      </c>
      <c r="AZ24" s="28">
        <v>7</v>
      </c>
      <c r="BA24" s="4"/>
      <c r="BB24" s="52">
        <v>0</v>
      </c>
      <c r="BC24" s="52">
        <v>0</v>
      </c>
      <c r="BD24" s="52">
        <v>0</v>
      </c>
      <c r="BE24" s="41">
        <v>0</v>
      </c>
      <c r="BF24" s="41" t="str">
        <f t="shared" si="26"/>
        <v>no data</v>
      </c>
      <c r="BG24" s="60">
        <f t="shared" si="27"/>
        <v>0</v>
      </c>
      <c r="BH24" s="71">
        <v>0</v>
      </c>
      <c r="BI24" s="71">
        <v>0</v>
      </c>
      <c r="BJ24" s="72">
        <v>0</v>
      </c>
      <c r="BK24" s="72">
        <v>0</v>
      </c>
      <c r="BL24" s="72">
        <v>0</v>
      </c>
      <c r="BM24" s="72">
        <v>0</v>
      </c>
      <c r="BN24" s="73">
        <v>1004</v>
      </c>
      <c r="BO24" s="73">
        <v>0</v>
      </c>
      <c r="BP24" s="74">
        <v>0</v>
      </c>
      <c r="BQ24" s="54">
        <v>0</v>
      </c>
      <c r="BR24" s="54">
        <v>0</v>
      </c>
      <c r="BS24" s="49">
        <f t="shared" si="28"/>
        <v>0</v>
      </c>
      <c r="BT24" s="55">
        <v>0</v>
      </c>
      <c r="BU24" s="55">
        <v>0</v>
      </c>
      <c r="BV24" s="51">
        <f t="shared" si="29"/>
        <v>0</v>
      </c>
      <c r="BW24" s="41">
        <f t="shared" si="30"/>
        <v>0</v>
      </c>
      <c r="BX24" s="73">
        <v>0</v>
      </c>
      <c r="BY24" s="73">
        <v>0</v>
      </c>
      <c r="CA24" s="73">
        <v>0</v>
      </c>
      <c r="CB24" s="73">
        <v>0</v>
      </c>
      <c r="CD24" s="73">
        <v>0</v>
      </c>
      <c r="CE24" s="73">
        <v>0</v>
      </c>
      <c r="CF24" s="73">
        <v>0</v>
      </c>
      <c r="CG24" s="73">
        <v>0</v>
      </c>
    </row>
    <row r="25" spans="1:85">
      <c r="A25" s="452"/>
      <c r="B25" s="24">
        <v>43421</v>
      </c>
      <c r="C25" s="25">
        <v>67.86</v>
      </c>
      <c r="D25" s="26">
        <v>0.6381</v>
      </c>
      <c r="E25" s="38">
        <v>57.1</v>
      </c>
      <c r="F25" s="75">
        <v>84</v>
      </c>
      <c r="G25" s="75">
        <v>38</v>
      </c>
      <c r="H25" s="27">
        <v>0</v>
      </c>
      <c r="I25" s="27">
        <v>0</v>
      </c>
      <c r="J25" s="27">
        <v>0</v>
      </c>
      <c r="K25" s="27">
        <v>0</v>
      </c>
      <c r="L25" s="29">
        <v>0</v>
      </c>
      <c r="M25" s="29">
        <v>0</v>
      </c>
      <c r="N25" s="29">
        <v>0</v>
      </c>
      <c r="O25" s="29">
        <v>0</v>
      </c>
      <c r="P25" s="29">
        <v>0</v>
      </c>
      <c r="Q25" s="29">
        <v>0</v>
      </c>
      <c r="R25" s="67">
        <v>3684</v>
      </c>
      <c r="S25" s="68">
        <v>0</v>
      </c>
      <c r="T25" s="76">
        <v>0</v>
      </c>
      <c r="U25" s="31">
        <v>0</v>
      </c>
      <c r="V25" s="31">
        <v>0</v>
      </c>
      <c r="W25" s="27">
        <v>43</v>
      </c>
      <c r="X25" s="27">
        <v>1440</v>
      </c>
      <c r="Y25" s="27">
        <v>46</v>
      </c>
      <c r="Z25" s="27">
        <v>1440</v>
      </c>
      <c r="AA25" s="27">
        <v>60</v>
      </c>
      <c r="AB25" s="27">
        <v>1440</v>
      </c>
      <c r="AC25" s="32">
        <f t="shared" si="31"/>
        <v>7</v>
      </c>
      <c r="AD25" s="33">
        <f t="shared" si="16"/>
        <v>0</v>
      </c>
      <c r="AE25" s="28">
        <v>0</v>
      </c>
      <c r="AF25" s="34" t="str">
        <f t="shared" si="17"/>
        <v>no data</v>
      </c>
      <c r="AG25" s="35">
        <f t="shared" si="18"/>
        <v>153.5</v>
      </c>
      <c r="AH25" s="34" t="str">
        <f t="shared" si="19"/>
        <v>no data</v>
      </c>
      <c r="AI25" s="36">
        <f t="shared" si="20"/>
        <v>0</v>
      </c>
      <c r="AJ25" s="37" t="str">
        <f t="shared" si="21"/>
        <v>no data</v>
      </c>
      <c r="AK25" s="235">
        <v>0</v>
      </c>
      <c r="AL25" s="386">
        <v>0</v>
      </c>
      <c r="AM25" s="38">
        <f t="shared" si="22"/>
        <v>0</v>
      </c>
      <c r="AN25" s="235">
        <v>0</v>
      </c>
      <c r="AO25" s="380">
        <v>0</v>
      </c>
      <c r="AP25" s="39">
        <f t="shared" si="23"/>
        <v>0</v>
      </c>
      <c r="AQ25" s="201" t="str">
        <f t="shared" si="24"/>
        <v>no data</v>
      </c>
      <c r="AR25" s="198">
        <f t="shared" si="25"/>
        <v>0</v>
      </c>
      <c r="AS25" s="13"/>
      <c r="AT25" s="28">
        <v>0</v>
      </c>
      <c r="AU25" s="28">
        <v>0</v>
      </c>
      <c r="AV25" s="28">
        <v>0</v>
      </c>
      <c r="AW25" s="28">
        <v>0</v>
      </c>
      <c r="AX25" s="28">
        <v>0</v>
      </c>
      <c r="AY25" s="28">
        <v>0</v>
      </c>
      <c r="AZ25" s="28">
        <v>7</v>
      </c>
      <c r="BA25" s="4"/>
      <c r="BB25" s="52">
        <v>0</v>
      </c>
      <c r="BC25" s="52">
        <v>0</v>
      </c>
      <c r="BD25" s="52">
        <v>0</v>
      </c>
      <c r="BE25" s="41">
        <v>0</v>
      </c>
      <c r="BF25" s="41" t="str">
        <f t="shared" si="26"/>
        <v>no data</v>
      </c>
      <c r="BG25" s="60">
        <f t="shared" si="27"/>
        <v>0</v>
      </c>
      <c r="BH25" s="43">
        <v>0</v>
      </c>
      <c r="BI25" s="43">
        <v>0</v>
      </c>
      <c r="BJ25" s="45">
        <v>0</v>
      </c>
      <c r="BK25" s="47">
        <v>0</v>
      </c>
      <c r="BL25" s="47">
        <v>0</v>
      </c>
      <c r="BM25" s="47">
        <v>0</v>
      </c>
      <c r="BN25" s="47">
        <v>1004</v>
      </c>
      <c r="BO25" s="45">
        <v>0</v>
      </c>
      <c r="BP25" s="48">
        <v>0</v>
      </c>
      <c r="BQ25" s="54">
        <v>0</v>
      </c>
      <c r="BR25" s="54">
        <v>0</v>
      </c>
      <c r="BS25" s="49">
        <f t="shared" si="28"/>
        <v>0</v>
      </c>
      <c r="BT25" s="55">
        <v>0</v>
      </c>
      <c r="BU25" s="55">
        <v>0</v>
      </c>
      <c r="BV25" s="51">
        <f t="shared" si="29"/>
        <v>0</v>
      </c>
      <c r="BW25" s="41">
        <f t="shared" si="30"/>
        <v>0</v>
      </c>
      <c r="BX25" s="42">
        <v>0</v>
      </c>
      <c r="BY25" s="42">
        <v>0</v>
      </c>
      <c r="CA25" s="42">
        <v>0</v>
      </c>
      <c r="CB25" s="42">
        <v>0</v>
      </c>
      <c r="CD25" s="42">
        <v>0</v>
      </c>
      <c r="CE25" s="42">
        <v>0</v>
      </c>
      <c r="CF25" s="42">
        <v>0</v>
      </c>
      <c r="CG25" s="42">
        <v>0</v>
      </c>
    </row>
    <row r="26" spans="1:85">
      <c r="A26" s="453"/>
      <c r="B26" s="24">
        <v>43422</v>
      </c>
      <c r="C26" s="25">
        <v>69.8</v>
      </c>
      <c r="D26" s="26">
        <v>0.60499999999999998</v>
      </c>
      <c r="E26" s="38">
        <v>57.02</v>
      </c>
      <c r="F26" s="28">
        <v>82</v>
      </c>
      <c r="G26" s="28">
        <v>61</v>
      </c>
      <c r="H26" s="27">
        <v>0</v>
      </c>
      <c r="I26" s="27">
        <v>0</v>
      </c>
      <c r="J26" s="27">
        <v>0</v>
      </c>
      <c r="K26" s="27">
        <v>0</v>
      </c>
      <c r="L26" s="29">
        <v>0</v>
      </c>
      <c r="M26" s="29">
        <v>0</v>
      </c>
      <c r="N26" s="29">
        <v>0</v>
      </c>
      <c r="O26" s="29">
        <v>0</v>
      </c>
      <c r="P26" s="29">
        <v>0</v>
      </c>
      <c r="Q26" s="29">
        <v>0</v>
      </c>
      <c r="R26" s="67">
        <v>3679</v>
      </c>
      <c r="S26" s="68">
        <v>0</v>
      </c>
      <c r="T26" s="76">
        <v>0</v>
      </c>
      <c r="U26" s="31">
        <v>0</v>
      </c>
      <c r="V26" s="31">
        <v>0</v>
      </c>
      <c r="W26" s="27">
        <v>43</v>
      </c>
      <c r="X26" s="28">
        <v>1440</v>
      </c>
      <c r="Y26" s="28">
        <v>46</v>
      </c>
      <c r="Z26" s="28">
        <v>1440</v>
      </c>
      <c r="AA26" s="28">
        <v>60</v>
      </c>
      <c r="AB26" s="28">
        <v>1440</v>
      </c>
      <c r="AC26" s="32">
        <v>6</v>
      </c>
      <c r="AD26" s="33">
        <f t="shared" si="16"/>
        <v>0</v>
      </c>
      <c r="AE26" s="28">
        <v>0</v>
      </c>
      <c r="AF26" s="34" t="str">
        <f t="shared" si="17"/>
        <v>no data</v>
      </c>
      <c r="AG26" s="35">
        <f t="shared" si="18"/>
        <v>153.29166666666666</v>
      </c>
      <c r="AH26" s="34" t="str">
        <f t="shared" si="19"/>
        <v>no data</v>
      </c>
      <c r="AI26" s="36">
        <f t="shared" si="20"/>
        <v>0</v>
      </c>
      <c r="AJ26" s="37" t="str">
        <f t="shared" si="21"/>
        <v>no data</v>
      </c>
      <c r="AK26" s="235">
        <v>0</v>
      </c>
      <c r="AL26" s="386">
        <v>0</v>
      </c>
      <c r="AM26" s="38">
        <f t="shared" si="22"/>
        <v>0</v>
      </c>
      <c r="AN26" s="235">
        <v>0</v>
      </c>
      <c r="AO26" s="380">
        <v>0</v>
      </c>
      <c r="AP26" s="39">
        <f t="shared" si="23"/>
        <v>0</v>
      </c>
      <c r="AQ26" s="201" t="str">
        <f t="shared" si="24"/>
        <v>no data</v>
      </c>
      <c r="AR26" s="198">
        <f t="shared" si="25"/>
        <v>0</v>
      </c>
      <c r="AS26" s="13"/>
      <c r="AT26" s="27">
        <v>0</v>
      </c>
      <c r="AU26" s="40">
        <v>0</v>
      </c>
      <c r="AV26" s="40">
        <v>0</v>
      </c>
      <c r="AW26" s="27">
        <v>0</v>
      </c>
      <c r="AX26" s="40">
        <v>0</v>
      </c>
      <c r="AY26" s="27">
        <v>0</v>
      </c>
      <c r="AZ26" s="27">
        <v>6</v>
      </c>
      <c r="BA26" s="4"/>
      <c r="BB26" s="52">
        <v>0</v>
      </c>
      <c r="BC26" s="52">
        <v>0</v>
      </c>
      <c r="BD26" s="52">
        <v>0</v>
      </c>
      <c r="BE26" s="41">
        <v>0</v>
      </c>
      <c r="BF26" s="41">
        <v>0</v>
      </c>
      <c r="BG26" s="60">
        <f t="shared" si="27"/>
        <v>0</v>
      </c>
      <c r="BH26" s="43">
        <v>0</v>
      </c>
      <c r="BI26" s="44">
        <v>0</v>
      </c>
      <c r="BJ26" s="45">
        <v>0</v>
      </c>
      <c r="BK26" s="47">
        <v>0</v>
      </c>
      <c r="BL26" s="47">
        <v>0</v>
      </c>
      <c r="BM26" s="47">
        <v>0</v>
      </c>
      <c r="BN26" s="47">
        <v>1004</v>
      </c>
      <c r="BO26" s="45">
        <v>0</v>
      </c>
      <c r="BP26" s="48">
        <v>0</v>
      </c>
      <c r="BQ26" s="54">
        <v>0</v>
      </c>
      <c r="BR26" s="54">
        <v>0</v>
      </c>
      <c r="BS26" s="49">
        <f t="shared" si="28"/>
        <v>0</v>
      </c>
      <c r="BT26" s="55">
        <v>0</v>
      </c>
      <c r="BU26" s="55">
        <v>0</v>
      </c>
      <c r="BV26" s="51">
        <f t="shared" si="29"/>
        <v>0</v>
      </c>
      <c r="BW26" s="41">
        <f t="shared" si="30"/>
        <v>0</v>
      </c>
      <c r="BX26" s="42">
        <v>0</v>
      </c>
      <c r="BY26" s="42">
        <v>0</v>
      </c>
      <c r="CA26" s="42">
        <v>0</v>
      </c>
      <c r="CB26" s="42">
        <v>0</v>
      </c>
      <c r="CD26" s="42">
        <v>0</v>
      </c>
      <c r="CE26" s="42">
        <v>0</v>
      </c>
      <c r="CF26" s="42">
        <v>0</v>
      </c>
      <c r="CG26" s="42">
        <v>0</v>
      </c>
    </row>
    <row r="27" spans="1:85" ht="12.75" customHeight="1">
      <c r="A27" s="451" t="s">
        <v>319</v>
      </c>
      <c r="B27" s="24">
        <v>43423</v>
      </c>
      <c r="C27" s="157">
        <v>67.900000000000006</v>
      </c>
      <c r="D27" s="197">
        <v>0.63400000000000001</v>
      </c>
      <c r="E27" s="171">
        <v>56.8</v>
      </c>
      <c r="F27" s="160">
        <v>80</v>
      </c>
      <c r="G27" s="160">
        <v>60</v>
      </c>
      <c r="H27" s="160">
        <v>0</v>
      </c>
      <c r="I27" s="160">
        <v>0</v>
      </c>
      <c r="J27" s="160">
        <v>0</v>
      </c>
      <c r="K27" s="160">
        <v>0</v>
      </c>
      <c r="L27" s="188">
        <v>0</v>
      </c>
      <c r="M27" s="188">
        <v>0</v>
      </c>
      <c r="N27" s="188">
        <v>0</v>
      </c>
      <c r="O27" s="188">
        <v>0</v>
      </c>
      <c r="P27" s="188">
        <v>0</v>
      </c>
      <c r="Q27" s="188">
        <v>0</v>
      </c>
      <c r="R27" s="189">
        <v>3686</v>
      </c>
      <c r="S27" s="190">
        <v>0</v>
      </c>
      <c r="T27" s="190">
        <v>0</v>
      </c>
      <c r="U27" s="164">
        <v>0</v>
      </c>
      <c r="V27" s="164">
        <v>0</v>
      </c>
      <c r="W27" s="160">
        <v>43</v>
      </c>
      <c r="X27" s="160">
        <v>1440</v>
      </c>
      <c r="Y27" s="160">
        <v>46</v>
      </c>
      <c r="Z27" s="160">
        <v>1440</v>
      </c>
      <c r="AA27" s="160">
        <v>60</v>
      </c>
      <c r="AB27" s="160">
        <v>1440</v>
      </c>
      <c r="AC27" s="165">
        <f t="shared" si="31"/>
        <v>6</v>
      </c>
      <c r="AD27" s="166">
        <f t="shared" si="16"/>
        <v>0</v>
      </c>
      <c r="AE27" s="160">
        <v>0</v>
      </c>
      <c r="AF27" s="167" t="str">
        <f t="shared" si="17"/>
        <v>no data</v>
      </c>
      <c r="AG27" s="168">
        <f t="shared" si="18"/>
        <v>153.58333333333334</v>
      </c>
      <c r="AH27" s="167" t="str">
        <f t="shared" si="19"/>
        <v>no data</v>
      </c>
      <c r="AI27" s="169">
        <f t="shared" si="20"/>
        <v>0</v>
      </c>
      <c r="AJ27" s="170" t="str">
        <f t="shared" si="21"/>
        <v>no data</v>
      </c>
      <c r="AK27" s="376">
        <v>0</v>
      </c>
      <c r="AL27" s="387">
        <v>0</v>
      </c>
      <c r="AM27" s="368">
        <f t="shared" si="22"/>
        <v>0</v>
      </c>
      <c r="AN27" s="376">
        <v>0</v>
      </c>
      <c r="AO27" s="379">
        <v>0</v>
      </c>
      <c r="AP27" s="172">
        <f t="shared" si="23"/>
        <v>0</v>
      </c>
      <c r="AQ27" s="202" t="str">
        <f t="shared" si="24"/>
        <v>no data</v>
      </c>
      <c r="AR27" s="199">
        <f t="shared" si="25"/>
        <v>0</v>
      </c>
      <c r="AS27" s="13"/>
      <c r="AT27" s="159">
        <v>0</v>
      </c>
      <c r="AU27" s="174">
        <v>0</v>
      </c>
      <c r="AV27" s="174">
        <v>0</v>
      </c>
      <c r="AW27" s="159">
        <v>0</v>
      </c>
      <c r="AX27" s="174">
        <v>0</v>
      </c>
      <c r="AY27" s="159">
        <v>0</v>
      </c>
      <c r="AZ27" s="159">
        <v>6</v>
      </c>
      <c r="BA27" s="4"/>
      <c r="BB27" s="175">
        <v>0</v>
      </c>
      <c r="BC27" s="175">
        <v>0</v>
      </c>
      <c r="BD27" s="175">
        <v>0</v>
      </c>
      <c r="BE27" s="175">
        <v>0</v>
      </c>
      <c r="BF27" s="175">
        <v>0</v>
      </c>
      <c r="BG27" s="177">
        <f t="shared" si="27"/>
        <v>0</v>
      </c>
      <c r="BH27" s="191">
        <v>0</v>
      </c>
      <c r="BI27" s="155">
        <v>0</v>
      </c>
      <c r="BJ27" s="181">
        <v>0</v>
      </c>
      <c r="BK27" s="192">
        <v>0</v>
      </c>
      <c r="BL27" s="192">
        <v>0</v>
      </c>
      <c r="BM27" s="192">
        <v>0</v>
      </c>
      <c r="BN27" s="192">
        <v>1004</v>
      </c>
      <c r="BO27" s="192">
        <v>0</v>
      </c>
      <c r="BP27" s="193">
        <v>0</v>
      </c>
      <c r="BQ27" s="194">
        <v>0</v>
      </c>
      <c r="BR27" s="194">
        <v>0</v>
      </c>
      <c r="BS27" s="49">
        <f t="shared" si="28"/>
        <v>0</v>
      </c>
      <c r="BT27" s="194">
        <v>0</v>
      </c>
      <c r="BU27" s="194">
        <v>0</v>
      </c>
      <c r="BV27" s="51">
        <f t="shared" si="29"/>
        <v>0</v>
      </c>
      <c r="BW27" s="175">
        <v>0</v>
      </c>
      <c r="BX27" s="177">
        <v>0</v>
      </c>
      <c r="BY27" s="177">
        <v>0</v>
      </c>
      <c r="CA27" s="177">
        <v>0</v>
      </c>
      <c r="CB27" s="177">
        <v>0</v>
      </c>
      <c r="CD27" s="177">
        <v>0</v>
      </c>
      <c r="CE27" s="177">
        <v>0</v>
      </c>
      <c r="CF27" s="177">
        <v>0</v>
      </c>
      <c r="CG27" s="177">
        <v>0</v>
      </c>
    </row>
    <row r="28" spans="1:85">
      <c r="A28" s="452"/>
      <c r="B28" s="24">
        <v>43424</v>
      </c>
      <c r="C28" s="157">
        <v>68.599999999999994</v>
      </c>
      <c r="D28" s="197">
        <v>0.59499999999999997</v>
      </c>
      <c r="E28" s="171">
        <v>55.8</v>
      </c>
      <c r="F28" s="160">
        <v>87</v>
      </c>
      <c r="G28" s="160">
        <v>60</v>
      </c>
      <c r="H28" s="160">
        <v>0</v>
      </c>
      <c r="I28" s="160">
        <v>0</v>
      </c>
      <c r="J28" s="160">
        <v>0</v>
      </c>
      <c r="K28" s="160">
        <v>0</v>
      </c>
      <c r="L28" s="188">
        <v>0</v>
      </c>
      <c r="M28" s="188">
        <v>0</v>
      </c>
      <c r="N28" s="188">
        <v>0</v>
      </c>
      <c r="O28" s="188">
        <v>0</v>
      </c>
      <c r="P28" s="188">
        <v>0</v>
      </c>
      <c r="Q28" s="188">
        <v>0</v>
      </c>
      <c r="R28" s="189">
        <v>3677</v>
      </c>
      <c r="S28" s="163">
        <v>0</v>
      </c>
      <c r="T28" s="163">
        <v>0</v>
      </c>
      <c r="U28" s="164">
        <v>0</v>
      </c>
      <c r="V28" s="164">
        <v>0</v>
      </c>
      <c r="W28" s="160">
        <v>43</v>
      </c>
      <c r="X28" s="160">
        <v>1440</v>
      </c>
      <c r="Y28" s="160">
        <v>46</v>
      </c>
      <c r="Z28" s="160">
        <v>1440</v>
      </c>
      <c r="AA28" s="160">
        <v>60</v>
      </c>
      <c r="AB28" s="160">
        <v>1440</v>
      </c>
      <c r="AC28" s="165">
        <f t="shared" si="31"/>
        <v>7</v>
      </c>
      <c r="AD28" s="166">
        <f t="shared" si="16"/>
        <v>0</v>
      </c>
      <c r="AE28" s="160">
        <v>0</v>
      </c>
      <c r="AF28" s="167" t="str">
        <f t="shared" si="17"/>
        <v>no data</v>
      </c>
      <c r="AG28" s="168">
        <f t="shared" si="18"/>
        <v>153.20833333333334</v>
      </c>
      <c r="AH28" s="167" t="str">
        <f t="shared" si="19"/>
        <v>no data</v>
      </c>
      <c r="AI28" s="169">
        <f t="shared" si="20"/>
        <v>0</v>
      </c>
      <c r="AJ28" s="170" t="str">
        <f t="shared" si="21"/>
        <v>no data</v>
      </c>
      <c r="AK28" s="376">
        <v>0</v>
      </c>
      <c r="AL28" s="387">
        <v>0</v>
      </c>
      <c r="AM28" s="368">
        <v>0</v>
      </c>
      <c r="AN28" s="376">
        <v>0</v>
      </c>
      <c r="AO28" s="379">
        <v>0</v>
      </c>
      <c r="AP28" s="172">
        <f t="shared" si="23"/>
        <v>0</v>
      </c>
      <c r="AQ28" s="202" t="str">
        <f t="shared" si="24"/>
        <v>no data</v>
      </c>
      <c r="AR28" s="199">
        <f t="shared" si="25"/>
        <v>0</v>
      </c>
      <c r="AS28" s="13"/>
      <c r="AT28" s="159">
        <v>0</v>
      </c>
      <c r="AU28" s="174">
        <v>0</v>
      </c>
      <c r="AV28" s="159">
        <v>0</v>
      </c>
      <c r="AW28" s="159">
        <v>0</v>
      </c>
      <c r="AX28" s="174">
        <v>0</v>
      </c>
      <c r="AY28" s="159">
        <v>0</v>
      </c>
      <c r="AZ28" s="159">
        <v>7</v>
      </c>
      <c r="BA28" s="4"/>
      <c r="BB28" s="175">
        <v>0</v>
      </c>
      <c r="BC28" s="175">
        <v>0</v>
      </c>
      <c r="BD28" s="175">
        <v>0</v>
      </c>
      <c r="BE28" s="175">
        <f>BC28-BB28</f>
        <v>0</v>
      </c>
      <c r="BF28" s="175" t="str">
        <f t="shared" si="26"/>
        <v>no data</v>
      </c>
      <c r="BG28" s="177">
        <f t="shared" si="27"/>
        <v>0</v>
      </c>
      <c r="BH28" s="191">
        <v>0</v>
      </c>
      <c r="BI28" s="155">
        <v>0</v>
      </c>
      <c r="BJ28" s="181">
        <v>0</v>
      </c>
      <c r="BK28" s="192">
        <v>0</v>
      </c>
      <c r="BL28" s="192">
        <v>0</v>
      </c>
      <c r="BM28" s="192">
        <v>0</v>
      </c>
      <c r="BN28" s="195">
        <v>1004</v>
      </c>
      <c r="BO28" s="192">
        <v>0</v>
      </c>
      <c r="BP28" s="193">
        <v>0</v>
      </c>
      <c r="BQ28" s="194">
        <v>0</v>
      </c>
      <c r="BR28" s="194">
        <v>0</v>
      </c>
      <c r="BS28" s="49">
        <f t="shared" si="28"/>
        <v>0</v>
      </c>
      <c r="BT28" s="194">
        <v>0</v>
      </c>
      <c r="BU28" s="194">
        <v>0</v>
      </c>
      <c r="BV28" s="51">
        <f t="shared" si="29"/>
        <v>0</v>
      </c>
      <c r="BW28" s="175">
        <f t="shared" si="30"/>
        <v>0</v>
      </c>
      <c r="BX28" s="177">
        <v>0</v>
      </c>
      <c r="BY28" s="177">
        <v>0</v>
      </c>
      <c r="CA28" s="177">
        <v>0</v>
      </c>
      <c r="CB28" s="177">
        <v>0</v>
      </c>
      <c r="CD28" s="177">
        <v>0</v>
      </c>
      <c r="CE28" s="177">
        <v>0</v>
      </c>
      <c r="CF28" s="177">
        <v>0</v>
      </c>
      <c r="CG28" s="177">
        <v>0</v>
      </c>
    </row>
    <row r="29" spans="1:85">
      <c r="A29" s="452"/>
      <c r="B29" s="24">
        <v>43425</v>
      </c>
      <c r="C29" s="157">
        <v>68.2</v>
      </c>
      <c r="D29" s="197">
        <v>0.61</v>
      </c>
      <c r="E29" s="171">
        <v>56.4</v>
      </c>
      <c r="F29" s="160">
        <v>84</v>
      </c>
      <c r="G29" s="160">
        <v>57</v>
      </c>
      <c r="H29" s="160">
        <v>0</v>
      </c>
      <c r="I29" s="160">
        <v>0</v>
      </c>
      <c r="J29" s="160">
        <v>0</v>
      </c>
      <c r="K29" s="160">
        <v>0</v>
      </c>
      <c r="L29" s="188">
        <v>0</v>
      </c>
      <c r="M29" s="188">
        <v>0</v>
      </c>
      <c r="N29" s="188">
        <v>0</v>
      </c>
      <c r="O29" s="188">
        <v>0</v>
      </c>
      <c r="P29" s="188">
        <v>0</v>
      </c>
      <c r="Q29" s="188">
        <v>0</v>
      </c>
      <c r="R29" s="189">
        <v>3684</v>
      </c>
      <c r="S29" s="163">
        <v>0</v>
      </c>
      <c r="T29" s="163">
        <v>0</v>
      </c>
      <c r="U29" s="164">
        <v>0</v>
      </c>
      <c r="V29" s="164">
        <v>0</v>
      </c>
      <c r="W29" s="160">
        <v>43</v>
      </c>
      <c r="X29" s="160">
        <v>1440</v>
      </c>
      <c r="Y29" s="160">
        <v>46</v>
      </c>
      <c r="Z29" s="160">
        <v>1440</v>
      </c>
      <c r="AA29" s="160">
        <v>60</v>
      </c>
      <c r="AB29" s="160">
        <v>1440</v>
      </c>
      <c r="AC29" s="165">
        <f t="shared" si="31"/>
        <v>7</v>
      </c>
      <c r="AD29" s="166">
        <f t="shared" si="16"/>
        <v>0</v>
      </c>
      <c r="AE29" s="160">
        <v>0</v>
      </c>
      <c r="AF29" s="167" t="str">
        <f t="shared" si="17"/>
        <v>no data</v>
      </c>
      <c r="AG29" s="168">
        <f t="shared" si="18"/>
        <v>153.5</v>
      </c>
      <c r="AH29" s="167" t="str">
        <f t="shared" si="19"/>
        <v>no data</v>
      </c>
      <c r="AI29" s="169">
        <f t="shared" si="20"/>
        <v>0</v>
      </c>
      <c r="AJ29" s="170">
        <v>0</v>
      </c>
      <c r="AK29" s="376">
        <v>0</v>
      </c>
      <c r="AL29" s="387">
        <v>0</v>
      </c>
      <c r="AM29" s="368">
        <f t="shared" si="22"/>
        <v>0</v>
      </c>
      <c r="AN29" s="376">
        <v>0</v>
      </c>
      <c r="AO29" s="379">
        <v>0</v>
      </c>
      <c r="AP29" s="172">
        <f t="shared" si="23"/>
        <v>0</v>
      </c>
      <c r="AQ29" s="202" t="str">
        <f t="shared" si="24"/>
        <v>no data</v>
      </c>
      <c r="AR29" s="199">
        <f t="shared" si="25"/>
        <v>0</v>
      </c>
      <c r="AS29" s="13"/>
      <c r="AT29" s="159">
        <v>0</v>
      </c>
      <c r="AU29" s="174">
        <v>0</v>
      </c>
      <c r="AV29" s="174">
        <v>0</v>
      </c>
      <c r="AW29" s="159">
        <v>0</v>
      </c>
      <c r="AX29" s="174">
        <v>0</v>
      </c>
      <c r="AY29" s="159">
        <v>0</v>
      </c>
      <c r="AZ29" s="159">
        <v>7</v>
      </c>
      <c r="BA29" s="4"/>
      <c r="BB29" s="175">
        <v>0</v>
      </c>
      <c r="BC29" s="175">
        <v>0</v>
      </c>
      <c r="BD29" s="175">
        <v>0</v>
      </c>
      <c r="BE29" s="175">
        <v>0</v>
      </c>
      <c r="BF29" s="175" t="str">
        <f t="shared" si="26"/>
        <v>no data</v>
      </c>
      <c r="BG29" s="177">
        <f t="shared" si="27"/>
        <v>0</v>
      </c>
      <c r="BH29" s="191">
        <v>0</v>
      </c>
      <c r="BI29" s="155">
        <v>0</v>
      </c>
      <c r="BJ29" s="181">
        <v>0</v>
      </c>
      <c r="BK29" s="192">
        <v>0</v>
      </c>
      <c r="BL29" s="192">
        <v>0</v>
      </c>
      <c r="BM29" s="192">
        <v>0</v>
      </c>
      <c r="BN29" s="195">
        <v>1004</v>
      </c>
      <c r="BO29" s="181">
        <v>0</v>
      </c>
      <c r="BP29" s="193">
        <v>0</v>
      </c>
      <c r="BQ29" s="194">
        <v>0</v>
      </c>
      <c r="BR29" s="194">
        <v>0</v>
      </c>
      <c r="BS29" s="49">
        <f t="shared" si="28"/>
        <v>0</v>
      </c>
      <c r="BT29" s="194">
        <v>0</v>
      </c>
      <c r="BU29" s="194">
        <v>0</v>
      </c>
      <c r="BV29" s="51">
        <f t="shared" si="29"/>
        <v>0</v>
      </c>
      <c r="BW29" s="175">
        <f t="shared" si="30"/>
        <v>0</v>
      </c>
      <c r="BX29" s="177">
        <v>0</v>
      </c>
      <c r="BY29" s="177">
        <v>0</v>
      </c>
      <c r="CA29" s="177">
        <v>0</v>
      </c>
      <c r="CB29" s="177">
        <v>0</v>
      </c>
      <c r="CD29" s="177">
        <v>0</v>
      </c>
      <c r="CE29" s="177">
        <v>0</v>
      </c>
      <c r="CF29" s="177">
        <v>0</v>
      </c>
      <c r="CG29" s="177">
        <v>0</v>
      </c>
    </row>
    <row r="30" spans="1:85">
      <c r="A30" s="452"/>
      <c r="B30" s="24">
        <v>43426</v>
      </c>
      <c r="C30" s="157">
        <v>68.3</v>
      </c>
      <c r="D30" s="197">
        <v>0.58699999999999997</v>
      </c>
      <c r="E30" s="171">
        <v>55.8</v>
      </c>
      <c r="F30" s="160">
        <v>84</v>
      </c>
      <c r="G30" s="160">
        <v>58</v>
      </c>
      <c r="H30" s="160">
        <v>0</v>
      </c>
      <c r="I30" s="160">
        <v>0</v>
      </c>
      <c r="J30" s="160">
        <v>0</v>
      </c>
      <c r="K30" s="160">
        <v>0</v>
      </c>
      <c r="L30" s="188">
        <v>0</v>
      </c>
      <c r="M30" s="188">
        <v>0</v>
      </c>
      <c r="N30" s="188">
        <v>0</v>
      </c>
      <c r="O30" s="188">
        <v>0</v>
      </c>
      <c r="P30" s="188">
        <v>0</v>
      </c>
      <c r="Q30" s="188">
        <v>0</v>
      </c>
      <c r="R30" s="189">
        <v>3682</v>
      </c>
      <c r="S30" s="163">
        <v>0</v>
      </c>
      <c r="T30" s="163">
        <v>0</v>
      </c>
      <c r="U30" s="164">
        <v>0</v>
      </c>
      <c r="V30" s="164">
        <v>0</v>
      </c>
      <c r="W30" s="160">
        <v>43</v>
      </c>
      <c r="X30" s="160">
        <v>1440</v>
      </c>
      <c r="Y30" s="160">
        <v>46</v>
      </c>
      <c r="Z30" s="160">
        <v>1440</v>
      </c>
      <c r="AA30" s="160">
        <v>60</v>
      </c>
      <c r="AB30" s="160">
        <v>1440</v>
      </c>
      <c r="AC30" s="165">
        <f t="shared" si="31"/>
        <v>6</v>
      </c>
      <c r="AD30" s="166">
        <f t="shared" si="16"/>
        <v>0</v>
      </c>
      <c r="AE30" s="160">
        <v>0</v>
      </c>
      <c r="AF30" s="167" t="str">
        <f t="shared" si="17"/>
        <v>no data</v>
      </c>
      <c r="AG30" s="168">
        <f t="shared" si="18"/>
        <v>153.41666666666666</v>
      </c>
      <c r="AH30" s="167" t="str">
        <f t="shared" si="19"/>
        <v>no data</v>
      </c>
      <c r="AI30" s="169">
        <f t="shared" si="20"/>
        <v>0</v>
      </c>
      <c r="AJ30" s="170" t="str">
        <f t="shared" si="21"/>
        <v>no data</v>
      </c>
      <c r="AK30" s="376">
        <v>0</v>
      </c>
      <c r="AL30" s="387">
        <v>0</v>
      </c>
      <c r="AM30" s="368">
        <f t="shared" si="22"/>
        <v>0</v>
      </c>
      <c r="AN30" s="376">
        <v>0</v>
      </c>
      <c r="AO30" s="379">
        <v>0</v>
      </c>
      <c r="AP30" s="172">
        <f t="shared" si="23"/>
        <v>0</v>
      </c>
      <c r="AQ30" s="202" t="str">
        <f t="shared" si="24"/>
        <v>no data</v>
      </c>
      <c r="AR30" s="199">
        <f t="shared" si="25"/>
        <v>0</v>
      </c>
      <c r="AS30" s="13"/>
      <c r="AT30" s="159">
        <v>0</v>
      </c>
      <c r="AU30" s="174">
        <v>0</v>
      </c>
      <c r="AV30" s="174">
        <v>0</v>
      </c>
      <c r="AW30" s="159">
        <v>0</v>
      </c>
      <c r="AX30" s="174">
        <v>0</v>
      </c>
      <c r="AY30" s="159">
        <v>0</v>
      </c>
      <c r="AZ30" s="159">
        <v>6</v>
      </c>
      <c r="BA30" s="4"/>
      <c r="BB30" s="175">
        <v>0</v>
      </c>
      <c r="BC30" s="175">
        <v>0</v>
      </c>
      <c r="BD30" s="175">
        <v>0</v>
      </c>
      <c r="BE30" s="175">
        <v>0</v>
      </c>
      <c r="BF30" s="175" t="str">
        <f t="shared" si="26"/>
        <v>no data</v>
      </c>
      <c r="BG30" s="177">
        <f t="shared" si="27"/>
        <v>0</v>
      </c>
      <c r="BH30" s="191">
        <v>0</v>
      </c>
      <c r="BI30" s="155">
        <v>0</v>
      </c>
      <c r="BJ30" s="181">
        <v>0</v>
      </c>
      <c r="BK30" s="192">
        <v>0</v>
      </c>
      <c r="BL30" s="195">
        <v>0</v>
      </c>
      <c r="BM30" s="192">
        <v>0</v>
      </c>
      <c r="BN30" s="192">
        <v>1004</v>
      </c>
      <c r="BO30" s="192">
        <v>0</v>
      </c>
      <c r="BP30" s="193">
        <v>0</v>
      </c>
      <c r="BQ30" s="194">
        <v>0</v>
      </c>
      <c r="BR30" s="181">
        <v>0</v>
      </c>
      <c r="BS30" s="49">
        <f t="shared" si="28"/>
        <v>0</v>
      </c>
      <c r="BT30" s="194">
        <v>0</v>
      </c>
      <c r="BU30" s="175">
        <v>0</v>
      </c>
      <c r="BV30" s="51">
        <f t="shared" si="29"/>
        <v>0</v>
      </c>
      <c r="BW30" s="175">
        <f t="shared" si="30"/>
        <v>0</v>
      </c>
      <c r="BX30" s="177">
        <v>0</v>
      </c>
      <c r="BY30" s="177">
        <v>0</v>
      </c>
      <c r="CA30" s="177">
        <v>0</v>
      </c>
      <c r="CB30" s="177">
        <v>0</v>
      </c>
      <c r="CD30" s="177">
        <v>0</v>
      </c>
      <c r="CE30" s="177">
        <v>0</v>
      </c>
      <c r="CF30" s="177">
        <v>0</v>
      </c>
      <c r="CG30" s="177">
        <v>0</v>
      </c>
    </row>
    <row r="31" spans="1:85">
      <c r="A31" s="452"/>
      <c r="B31" s="24">
        <v>43427</v>
      </c>
      <c r="C31" s="157">
        <v>66.900000000000006</v>
      </c>
      <c r="D31" s="197">
        <v>0.58899999999999997</v>
      </c>
      <c r="E31" s="171">
        <v>54.2</v>
      </c>
      <c r="F31" s="160">
        <v>84</v>
      </c>
      <c r="G31" s="160">
        <v>57</v>
      </c>
      <c r="H31" s="160">
        <v>0</v>
      </c>
      <c r="I31" s="160">
        <v>0</v>
      </c>
      <c r="J31" s="160">
        <v>0</v>
      </c>
      <c r="K31" s="160">
        <v>0</v>
      </c>
      <c r="L31" s="187">
        <v>0</v>
      </c>
      <c r="M31" s="187">
        <v>0</v>
      </c>
      <c r="N31" s="187">
        <v>0</v>
      </c>
      <c r="O31" s="187">
        <v>0</v>
      </c>
      <c r="P31" s="187">
        <v>0</v>
      </c>
      <c r="Q31" s="187">
        <v>0</v>
      </c>
      <c r="R31" s="189">
        <v>3692</v>
      </c>
      <c r="S31" s="163">
        <v>0</v>
      </c>
      <c r="T31" s="163">
        <v>0</v>
      </c>
      <c r="U31" s="164">
        <v>0</v>
      </c>
      <c r="V31" s="164">
        <v>0</v>
      </c>
      <c r="W31" s="160">
        <v>43</v>
      </c>
      <c r="X31" s="160">
        <v>1440</v>
      </c>
      <c r="Y31" s="160">
        <v>46</v>
      </c>
      <c r="Z31" s="160">
        <v>1440</v>
      </c>
      <c r="AA31" s="160">
        <v>60</v>
      </c>
      <c r="AB31" s="160">
        <v>1440</v>
      </c>
      <c r="AC31" s="165">
        <f t="shared" si="31"/>
        <v>6</v>
      </c>
      <c r="AD31" s="166">
        <f t="shared" si="16"/>
        <v>0</v>
      </c>
      <c r="AE31" s="160">
        <v>0</v>
      </c>
      <c r="AF31" s="167" t="str">
        <f t="shared" si="17"/>
        <v>no data</v>
      </c>
      <c r="AG31" s="168">
        <f t="shared" si="18"/>
        <v>153.83333333333334</v>
      </c>
      <c r="AH31" s="167" t="str">
        <f t="shared" si="19"/>
        <v>no data</v>
      </c>
      <c r="AI31" s="169">
        <f t="shared" si="20"/>
        <v>0</v>
      </c>
      <c r="AJ31" s="170" t="str">
        <f t="shared" si="21"/>
        <v>no data</v>
      </c>
      <c r="AK31" s="376">
        <v>0</v>
      </c>
      <c r="AL31" s="387">
        <v>0</v>
      </c>
      <c r="AM31" s="368">
        <f t="shared" si="22"/>
        <v>0</v>
      </c>
      <c r="AN31" s="376">
        <v>0</v>
      </c>
      <c r="AO31" s="379">
        <v>0</v>
      </c>
      <c r="AP31" s="172">
        <f t="shared" si="23"/>
        <v>0</v>
      </c>
      <c r="AQ31" s="202" t="str">
        <f t="shared" si="24"/>
        <v>no data</v>
      </c>
      <c r="AR31" s="199">
        <f t="shared" si="25"/>
        <v>0</v>
      </c>
      <c r="AS31" s="13"/>
      <c r="AT31" s="159">
        <v>0</v>
      </c>
      <c r="AU31" s="174">
        <v>0</v>
      </c>
      <c r="AV31" s="174">
        <v>0</v>
      </c>
      <c r="AW31" s="159">
        <v>0</v>
      </c>
      <c r="AX31" s="174">
        <v>0</v>
      </c>
      <c r="AY31" s="159">
        <v>0</v>
      </c>
      <c r="AZ31" s="159">
        <v>6</v>
      </c>
      <c r="BA31" s="4"/>
      <c r="BB31" s="175">
        <v>0</v>
      </c>
      <c r="BC31" s="175">
        <v>0</v>
      </c>
      <c r="BD31" s="175">
        <v>0</v>
      </c>
      <c r="BE31" s="175">
        <f>BC31-BB31</f>
        <v>0</v>
      </c>
      <c r="BF31" s="175" t="str">
        <f t="shared" si="26"/>
        <v>no data</v>
      </c>
      <c r="BG31" s="177">
        <f t="shared" si="27"/>
        <v>0</v>
      </c>
      <c r="BH31" s="191">
        <v>0</v>
      </c>
      <c r="BI31" s="155">
        <v>0</v>
      </c>
      <c r="BJ31" s="181">
        <v>0</v>
      </c>
      <c r="BK31" s="192">
        <v>0</v>
      </c>
      <c r="BL31" s="195">
        <v>0</v>
      </c>
      <c r="BM31" s="192">
        <v>0</v>
      </c>
      <c r="BN31" s="192">
        <v>1008</v>
      </c>
      <c r="BO31" s="192">
        <v>0</v>
      </c>
      <c r="BP31" s="193">
        <v>0</v>
      </c>
      <c r="BQ31" s="194">
        <v>0</v>
      </c>
      <c r="BR31" s="181">
        <v>0</v>
      </c>
      <c r="BS31" s="49">
        <f t="shared" si="28"/>
        <v>0</v>
      </c>
      <c r="BT31" s="194">
        <v>0</v>
      </c>
      <c r="BU31" s="175">
        <v>0</v>
      </c>
      <c r="BV31" s="51">
        <f t="shared" si="29"/>
        <v>0</v>
      </c>
      <c r="BW31" s="175">
        <f t="shared" si="30"/>
        <v>0</v>
      </c>
      <c r="BX31" s="177">
        <v>0</v>
      </c>
      <c r="BY31" s="177">
        <v>0</v>
      </c>
      <c r="CA31" s="177">
        <v>0</v>
      </c>
      <c r="CB31" s="177">
        <v>0</v>
      </c>
      <c r="CD31" s="177">
        <v>0</v>
      </c>
      <c r="CE31" s="177">
        <v>0</v>
      </c>
      <c r="CF31" s="177">
        <v>0</v>
      </c>
      <c r="CG31" s="177">
        <v>0</v>
      </c>
    </row>
    <row r="32" spans="1:85">
      <c r="A32" s="452"/>
      <c r="B32" s="24">
        <v>43428</v>
      </c>
      <c r="C32" s="171">
        <v>68.400000000000006</v>
      </c>
      <c r="D32" s="197">
        <v>0.53300000000000003</v>
      </c>
      <c r="E32" s="171">
        <v>54.7</v>
      </c>
      <c r="F32" s="159">
        <v>83</v>
      </c>
      <c r="G32" s="159">
        <v>59</v>
      </c>
      <c r="H32" s="160">
        <v>0</v>
      </c>
      <c r="I32" s="160">
        <v>0</v>
      </c>
      <c r="J32" s="160">
        <v>0</v>
      </c>
      <c r="K32" s="160">
        <v>0</v>
      </c>
      <c r="L32" s="187">
        <v>0</v>
      </c>
      <c r="M32" s="187">
        <v>0</v>
      </c>
      <c r="N32" s="187">
        <v>0</v>
      </c>
      <c r="O32" s="187">
        <v>0</v>
      </c>
      <c r="P32" s="187">
        <v>0</v>
      </c>
      <c r="Q32" s="187">
        <v>0</v>
      </c>
      <c r="R32" s="187">
        <v>3678</v>
      </c>
      <c r="S32" s="163">
        <v>0</v>
      </c>
      <c r="T32" s="163">
        <v>0</v>
      </c>
      <c r="U32" s="164">
        <v>0</v>
      </c>
      <c r="V32" s="164">
        <v>0</v>
      </c>
      <c r="W32" s="160">
        <v>43</v>
      </c>
      <c r="X32" s="160">
        <v>1440</v>
      </c>
      <c r="Y32" s="160">
        <v>46</v>
      </c>
      <c r="Z32" s="160">
        <v>1440</v>
      </c>
      <c r="AA32" s="160">
        <v>60</v>
      </c>
      <c r="AB32" s="160">
        <v>1440</v>
      </c>
      <c r="AC32" s="165">
        <v>6</v>
      </c>
      <c r="AD32" s="166">
        <f t="shared" si="16"/>
        <v>0</v>
      </c>
      <c r="AE32" s="160">
        <v>0</v>
      </c>
      <c r="AF32" s="167" t="str">
        <f t="shared" si="17"/>
        <v>no data</v>
      </c>
      <c r="AG32" s="168">
        <f t="shared" si="18"/>
        <v>153.25</v>
      </c>
      <c r="AH32" s="167" t="str">
        <f t="shared" si="19"/>
        <v>no data</v>
      </c>
      <c r="AI32" s="169">
        <f t="shared" si="20"/>
        <v>0</v>
      </c>
      <c r="AJ32" s="170" t="str">
        <f t="shared" si="21"/>
        <v>no data</v>
      </c>
      <c r="AK32" s="376">
        <v>0</v>
      </c>
      <c r="AL32" s="387">
        <v>0</v>
      </c>
      <c r="AM32" s="368">
        <f t="shared" si="22"/>
        <v>0</v>
      </c>
      <c r="AN32" s="376">
        <v>0</v>
      </c>
      <c r="AO32" s="379">
        <v>0</v>
      </c>
      <c r="AP32" s="172">
        <f t="shared" si="23"/>
        <v>0</v>
      </c>
      <c r="AQ32" s="202" t="str">
        <f t="shared" si="24"/>
        <v>no data</v>
      </c>
      <c r="AR32" s="199">
        <f t="shared" si="25"/>
        <v>0</v>
      </c>
      <c r="AS32" s="13"/>
      <c r="AT32" s="159">
        <v>0</v>
      </c>
      <c r="AU32" s="174">
        <v>0</v>
      </c>
      <c r="AV32" s="159">
        <v>0</v>
      </c>
      <c r="AW32" s="159">
        <v>0</v>
      </c>
      <c r="AX32" s="174">
        <v>0</v>
      </c>
      <c r="AY32" s="159">
        <v>0</v>
      </c>
      <c r="AZ32" s="159">
        <v>6</v>
      </c>
      <c r="BA32" s="4"/>
      <c r="BB32" s="175">
        <v>0</v>
      </c>
      <c r="BC32" s="175">
        <v>0</v>
      </c>
      <c r="BD32" s="175">
        <v>0</v>
      </c>
      <c r="BE32" s="175">
        <v>0</v>
      </c>
      <c r="BF32" s="175" t="str">
        <f t="shared" si="26"/>
        <v>no data</v>
      </c>
      <c r="BG32" s="177">
        <f t="shared" si="27"/>
        <v>0</v>
      </c>
      <c r="BH32" s="191">
        <v>0</v>
      </c>
      <c r="BI32" s="155">
        <v>0</v>
      </c>
      <c r="BJ32" s="181">
        <v>0</v>
      </c>
      <c r="BK32" s="192">
        <v>0</v>
      </c>
      <c r="BL32" s="192">
        <v>0</v>
      </c>
      <c r="BM32" s="192">
        <v>0</v>
      </c>
      <c r="BN32" s="192">
        <v>1005</v>
      </c>
      <c r="BO32" s="192">
        <v>0</v>
      </c>
      <c r="BP32" s="193">
        <v>0</v>
      </c>
      <c r="BQ32" s="192">
        <v>0</v>
      </c>
      <c r="BR32" s="181">
        <v>0</v>
      </c>
      <c r="BS32" s="49">
        <f t="shared" si="28"/>
        <v>0</v>
      </c>
      <c r="BT32" s="175">
        <v>0</v>
      </c>
      <c r="BU32" s="175">
        <v>0</v>
      </c>
      <c r="BV32" s="51">
        <f t="shared" si="29"/>
        <v>0</v>
      </c>
      <c r="BW32" s="175">
        <f t="shared" si="30"/>
        <v>0</v>
      </c>
      <c r="BX32" s="177">
        <v>0</v>
      </c>
      <c r="BY32" s="177">
        <v>0</v>
      </c>
      <c r="CA32" s="177">
        <v>0</v>
      </c>
      <c r="CB32" s="177">
        <v>0</v>
      </c>
      <c r="CD32" s="177">
        <v>0</v>
      </c>
      <c r="CE32" s="177">
        <v>0</v>
      </c>
      <c r="CF32" s="177">
        <v>0</v>
      </c>
      <c r="CG32" s="177">
        <v>0</v>
      </c>
    </row>
    <row r="33" spans="1:85">
      <c r="A33" s="453"/>
      <c r="B33" s="24">
        <v>43429</v>
      </c>
      <c r="C33" s="157">
        <v>67.73</v>
      </c>
      <c r="D33" s="197">
        <v>0.63759999999999994</v>
      </c>
      <c r="E33" s="171">
        <v>56.86</v>
      </c>
      <c r="F33" s="159">
        <v>89.75</v>
      </c>
      <c r="G33" s="159">
        <v>56.17</v>
      </c>
      <c r="H33" s="160">
        <v>0</v>
      </c>
      <c r="I33" s="160">
        <v>0</v>
      </c>
      <c r="J33" s="160">
        <v>0</v>
      </c>
      <c r="K33" s="160">
        <v>0</v>
      </c>
      <c r="L33" s="187">
        <v>0</v>
      </c>
      <c r="M33" s="187">
        <v>0</v>
      </c>
      <c r="N33" s="187">
        <v>0</v>
      </c>
      <c r="O33" s="187">
        <v>0</v>
      </c>
      <c r="P33" s="187">
        <v>0</v>
      </c>
      <c r="Q33" s="187">
        <v>0</v>
      </c>
      <c r="R33" s="187">
        <v>3680</v>
      </c>
      <c r="S33" s="163">
        <v>0</v>
      </c>
      <c r="T33" s="163">
        <v>0</v>
      </c>
      <c r="U33" s="164">
        <v>0</v>
      </c>
      <c r="V33" s="164">
        <v>0</v>
      </c>
      <c r="W33" s="160">
        <v>43</v>
      </c>
      <c r="X33" s="160">
        <v>1440</v>
      </c>
      <c r="Y33" s="160">
        <v>46</v>
      </c>
      <c r="Z33" s="160">
        <v>1440</v>
      </c>
      <c r="AA33" s="160">
        <v>60</v>
      </c>
      <c r="AB33" s="160">
        <v>1440</v>
      </c>
      <c r="AC33" s="165">
        <f t="shared" si="31"/>
        <v>7</v>
      </c>
      <c r="AD33" s="166">
        <f t="shared" si="16"/>
        <v>0</v>
      </c>
      <c r="AE33" s="160">
        <v>0</v>
      </c>
      <c r="AF33" s="167" t="str">
        <f t="shared" si="17"/>
        <v>no data</v>
      </c>
      <c r="AG33" s="168">
        <f t="shared" si="18"/>
        <v>153.33333333333334</v>
      </c>
      <c r="AH33" s="167" t="str">
        <f t="shared" si="19"/>
        <v>no data</v>
      </c>
      <c r="AI33" s="169">
        <f t="shared" si="20"/>
        <v>0</v>
      </c>
      <c r="AJ33" s="170" t="str">
        <f t="shared" si="21"/>
        <v>no data</v>
      </c>
      <c r="AK33" s="376">
        <v>0</v>
      </c>
      <c r="AL33" s="387">
        <v>0</v>
      </c>
      <c r="AM33" s="368">
        <f t="shared" si="22"/>
        <v>0</v>
      </c>
      <c r="AN33" s="376">
        <v>0</v>
      </c>
      <c r="AO33" s="379">
        <v>0</v>
      </c>
      <c r="AP33" s="172">
        <f t="shared" si="23"/>
        <v>0</v>
      </c>
      <c r="AQ33" s="202" t="str">
        <f t="shared" si="24"/>
        <v>no data</v>
      </c>
      <c r="AR33" s="199">
        <f t="shared" si="25"/>
        <v>0</v>
      </c>
      <c r="AS33" s="13"/>
      <c r="AT33" s="159">
        <v>0</v>
      </c>
      <c r="AU33" s="174">
        <v>0</v>
      </c>
      <c r="AV33" s="159">
        <v>0</v>
      </c>
      <c r="AW33" s="159">
        <v>0</v>
      </c>
      <c r="AX33" s="174">
        <v>0</v>
      </c>
      <c r="AY33" s="159">
        <v>0</v>
      </c>
      <c r="AZ33" s="159">
        <v>7</v>
      </c>
      <c r="BA33" s="4"/>
      <c r="BB33" s="175">
        <v>0</v>
      </c>
      <c r="BC33" s="175">
        <v>0</v>
      </c>
      <c r="BD33" s="175">
        <v>0</v>
      </c>
      <c r="BE33" s="175">
        <f>BC33-BB33</f>
        <v>0</v>
      </c>
      <c r="BF33" s="175" t="str">
        <f t="shared" si="26"/>
        <v>no data</v>
      </c>
      <c r="BG33" s="177">
        <f t="shared" si="27"/>
        <v>0</v>
      </c>
      <c r="BH33" s="191">
        <v>0</v>
      </c>
      <c r="BI33" s="155">
        <v>0</v>
      </c>
      <c r="BJ33" s="181">
        <v>0</v>
      </c>
      <c r="BK33" s="192">
        <v>0</v>
      </c>
      <c r="BL33" s="192">
        <v>0</v>
      </c>
      <c r="BM33" s="192">
        <v>0</v>
      </c>
      <c r="BN33" s="192">
        <v>1005</v>
      </c>
      <c r="BO33" s="192">
        <v>0</v>
      </c>
      <c r="BP33" s="193">
        <v>0</v>
      </c>
      <c r="BQ33" s="192">
        <v>0</v>
      </c>
      <c r="BR33" s="181">
        <v>0</v>
      </c>
      <c r="BS33" s="49">
        <f t="shared" si="28"/>
        <v>0</v>
      </c>
      <c r="BT33" s="175">
        <v>0</v>
      </c>
      <c r="BU33" s="175">
        <v>0</v>
      </c>
      <c r="BV33" s="51">
        <f t="shared" si="29"/>
        <v>0</v>
      </c>
      <c r="BW33" s="175">
        <f t="shared" si="30"/>
        <v>0</v>
      </c>
      <c r="BX33" s="177">
        <v>0</v>
      </c>
      <c r="BY33" s="177">
        <v>0</v>
      </c>
      <c r="CA33" s="177">
        <v>0</v>
      </c>
      <c r="CB33" s="177">
        <v>0</v>
      </c>
      <c r="CD33" s="177">
        <v>0</v>
      </c>
      <c r="CE33" s="177">
        <v>0</v>
      </c>
      <c r="CF33" s="177">
        <v>0</v>
      </c>
      <c r="CG33" s="177">
        <v>0</v>
      </c>
    </row>
    <row r="34" spans="1:85" ht="12.75" customHeight="1">
      <c r="A34" s="451" t="s">
        <v>320</v>
      </c>
      <c r="B34" s="24">
        <v>43430</v>
      </c>
      <c r="C34" s="25">
        <v>66.900000000000006</v>
      </c>
      <c r="D34" s="26">
        <v>0.63600000000000001</v>
      </c>
      <c r="E34" s="38">
        <v>54.2</v>
      </c>
      <c r="F34" s="27">
        <v>84</v>
      </c>
      <c r="G34" s="27">
        <v>57</v>
      </c>
      <c r="H34" s="28">
        <v>0</v>
      </c>
      <c r="I34" s="28">
        <v>0</v>
      </c>
      <c r="J34" s="28">
        <v>0</v>
      </c>
      <c r="K34" s="28">
        <v>0</v>
      </c>
      <c r="L34" s="29">
        <v>0</v>
      </c>
      <c r="M34" s="29">
        <v>0</v>
      </c>
      <c r="N34" s="29">
        <v>0</v>
      </c>
      <c r="O34" s="29">
        <v>0</v>
      </c>
      <c r="P34" s="29">
        <v>0</v>
      </c>
      <c r="Q34" s="29">
        <v>0</v>
      </c>
      <c r="R34" s="29">
        <v>3687</v>
      </c>
      <c r="S34" s="30">
        <v>0</v>
      </c>
      <c r="T34" s="30">
        <v>0</v>
      </c>
      <c r="U34" s="31">
        <v>0</v>
      </c>
      <c r="V34" s="31">
        <v>0</v>
      </c>
      <c r="W34" s="28">
        <v>43</v>
      </c>
      <c r="X34" s="28">
        <v>1440</v>
      </c>
      <c r="Y34" s="28">
        <v>46</v>
      </c>
      <c r="Z34" s="28">
        <v>1440</v>
      </c>
      <c r="AA34" s="28">
        <v>60</v>
      </c>
      <c r="AB34" s="27">
        <v>1440</v>
      </c>
      <c r="AC34" s="32">
        <v>6</v>
      </c>
      <c r="AD34" s="33">
        <f t="shared" si="16"/>
        <v>0</v>
      </c>
      <c r="AE34" s="27">
        <v>0</v>
      </c>
      <c r="AF34" s="34" t="str">
        <f t="shared" si="17"/>
        <v>no data</v>
      </c>
      <c r="AG34" s="35">
        <f t="shared" si="18"/>
        <v>153.625</v>
      </c>
      <c r="AH34" s="34" t="str">
        <f t="shared" si="19"/>
        <v>no data</v>
      </c>
      <c r="AI34" s="36">
        <f t="shared" si="20"/>
        <v>0</v>
      </c>
      <c r="AJ34" s="37" t="str">
        <f t="shared" si="21"/>
        <v>no data</v>
      </c>
      <c r="AK34" s="235">
        <v>0</v>
      </c>
      <c r="AL34" s="235">
        <v>0</v>
      </c>
      <c r="AM34" s="38">
        <f t="shared" si="22"/>
        <v>0</v>
      </c>
      <c r="AN34" s="235">
        <v>0</v>
      </c>
      <c r="AO34" s="380">
        <v>0</v>
      </c>
      <c r="AP34" s="39">
        <f t="shared" si="23"/>
        <v>0</v>
      </c>
      <c r="AQ34" s="201" t="str">
        <f t="shared" si="24"/>
        <v>no data</v>
      </c>
      <c r="AR34" s="198">
        <f t="shared" si="25"/>
        <v>0</v>
      </c>
      <c r="AS34" s="13"/>
      <c r="AT34" s="27">
        <v>0</v>
      </c>
      <c r="AU34" s="40">
        <v>0</v>
      </c>
      <c r="AV34" s="40">
        <v>0</v>
      </c>
      <c r="AW34" s="27">
        <v>0</v>
      </c>
      <c r="AX34" s="40">
        <v>0</v>
      </c>
      <c r="AY34" s="27">
        <v>0</v>
      </c>
      <c r="AZ34" s="27">
        <v>6</v>
      </c>
      <c r="BA34" s="4"/>
      <c r="BB34" s="41">
        <v>0</v>
      </c>
      <c r="BC34" s="41">
        <v>0</v>
      </c>
      <c r="BD34" s="41">
        <v>0</v>
      </c>
      <c r="BE34" s="41">
        <f>BC34-BB34</f>
        <v>0</v>
      </c>
      <c r="BF34" s="41" t="str">
        <f t="shared" si="26"/>
        <v>no data</v>
      </c>
      <c r="BG34" s="77">
        <f t="shared" si="27"/>
        <v>0</v>
      </c>
      <c r="BH34" s="43">
        <v>0</v>
      </c>
      <c r="BI34" s="44">
        <v>0</v>
      </c>
      <c r="BJ34" s="45">
        <v>0</v>
      </c>
      <c r="BK34" s="45">
        <v>0</v>
      </c>
      <c r="BL34" s="46">
        <v>0</v>
      </c>
      <c r="BM34" s="45">
        <v>0</v>
      </c>
      <c r="BN34" s="47">
        <v>1004</v>
      </c>
      <c r="BO34" s="45">
        <v>0</v>
      </c>
      <c r="BP34" s="48">
        <v>0</v>
      </c>
      <c r="BQ34" s="52">
        <v>0</v>
      </c>
      <c r="BR34" s="45">
        <v>0</v>
      </c>
      <c r="BS34" s="49">
        <f t="shared" si="28"/>
        <v>0</v>
      </c>
      <c r="BT34" s="41">
        <v>0</v>
      </c>
      <c r="BU34" s="41">
        <v>0</v>
      </c>
      <c r="BV34" s="51">
        <f t="shared" si="29"/>
        <v>0</v>
      </c>
      <c r="BW34" s="41">
        <v>0</v>
      </c>
      <c r="BX34" s="42">
        <v>0</v>
      </c>
      <c r="BY34" s="42">
        <v>0</v>
      </c>
      <c r="CA34" s="42">
        <v>0</v>
      </c>
      <c r="CB34" s="42">
        <v>0</v>
      </c>
      <c r="CD34" s="42">
        <v>0</v>
      </c>
      <c r="CE34" s="42">
        <v>0</v>
      </c>
      <c r="CF34" s="42">
        <v>0</v>
      </c>
      <c r="CG34" s="42">
        <v>0</v>
      </c>
    </row>
    <row r="35" spans="1:85">
      <c r="A35" s="452"/>
      <c r="B35" s="24">
        <v>43431</v>
      </c>
      <c r="C35" s="25">
        <v>68</v>
      </c>
      <c r="D35" s="26">
        <v>0.7</v>
      </c>
      <c r="E35" s="38">
        <v>59</v>
      </c>
      <c r="F35" s="27">
        <v>79</v>
      </c>
      <c r="G35" s="27">
        <v>58</v>
      </c>
      <c r="H35" s="28">
        <v>0</v>
      </c>
      <c r="I35" s="28">
        <v>0</v>
      </c>
      <c r="J35" s="28">
        <v>0</v>
      </c>
      <c r="K35" s="28">
        <v>0</v>
      </c>
      <c r="L35" s="29">
        <v>0</v>
      </c>
      <c r="M35" s="29">
        <v>0</v>
      </c>
      <c r="N35" s="29">
        <v>0</v>
      </c>
      <c r="O35" s="29">
        <v>0</v>
      </c>
      <c r="P35" s="29">
        <v>0</v>
      </c>
      <c r="Q35" s="29">
        <v>0</v>
      </c>
      <c r="R35" s="29">
        <v>3680</v>
      </c>
      <c r="S35" s="30">
        <v>0</v>
      </c>
      <c r="T35" s="30">
        <v>0</v>
      </c>
      <c r="U35" s="31">
        <v>0</v>
      </c>
      <c r="V35" s="31">
        <v>0</v>
      </c>
      <c r="W35" s="28">
        <v>43</v>
      </c>
      <c r="X35" s="28">
        <v>1440</v>
      </c>
      <c r="Y35" s="28">
        <v>46</v>
      </c>
      <c r="Z35" s="28">
        <v>1440</v>
      </c>
      <c r="AA35" s="28">
        <v>60</v>
      </c>
      <c r="AB35" s="27">
        <v>1440</v>
      </c>
      <c r="AC35" s="32">
        <v>5</v>
      </c>
      <c r="AD35" s="33">
        <f t="shared" si="16"/>
        <v>0</v>
      </c>
      <c r="AE35" s="27">
        <v>0</v>
      </c>
      <c r="AF35" s="34" t="str">
        <f t="shared" si="17"/>
        <v>no data</v>
      </c>
      <c r="AG35" s="35">
        <f t="shared" si="18"/>
        <v>153.33333333333334</v>
      </c>
      <c r="AH35" s="34" t="str">
        <f t="shared" si="19"/>
        <v>no data</v>
      </c>
      <c r="AI35" s="36">
        <f>(1440-((W35*X35)+(Y35*Z35)+(AA35*AB35))/(W35+Y35+AA35))/1440</f>
        <v>0</v>
      </c>
      <c r="AJ35" s="37" t="str">
        <f t="shared" si="21"/>
        <v>no data</v>
      </c>
      <c r="AK35" s="235">
        <v>0</v>
      </c>
      <c r="AL35" s="235">
        <v>0</v>
      </c>
      <c r="AM35" s="38">
        <f t="shared" si="22"/>
        <v>0</v>
      </c>
      <c r="AN35" s="235">
        <v>0</v>
      </c>
      <c r="AO35" s="380">
        <v>0</v>
      </c>
      <c r="AP35" s="39">
        <f t="shared" si="23"/>
        <v>0</v>
      </c>
      <c r="AQ35" s="201" t="str">
        <f t="shared" si="24"/>
        <v>no data</v>
      </c>
      <c r="AR35" s="198">
        <f t="shared" si="25"/>
        <v>0</v>
      </c>
      <c r="AS35" s="13"/>
      <c r="AT35" s="27">
        <v>0</v>
      </c>
      <c r="AU35" s="40">
        <v>0</v>
      </c>
      <c r="AV35" s="40">
        <v>0</v>
      </c>
      <c r="AW35" s="27">
        <v>0</v>
      </c>
      <c r="AX35" s="40">
        <v>0</v>
      </c>
      <c r="AY35" s="27">
        <v>0</v>
      </c>
      <c r="AZ35" s="27">
        <v>5</v>
      </c>
      <c r="BA35" s="4"/>
      <c r="BB35" s="41">
        <v>0</v>
      </c>
      <c r="BC35" s="41">
        <v>0</v>
      </c>
      <c r="BD35" s="41">
        <v>0</v>
      </c>
      <c r="BE35" s="41">
        <f>BC35-BB35</f>
        <v>0</v>
      </c>
      <c r="BF35" s="41" t="str">
        <f t="shared" si="26"/>
        <v>no data</v>
      </c>
      <c r="BG35" s="77">
        <f t="shared" si="27"/>
        <v>0</v>
      </c>
      <c r="BH35" s="43">
        <v>0</v>
      </c>
      <c r="BI35" s="44">
        <v>0</v>
      </c>
      <c r="BJ35" s="45">
        <v>0</v>
      </c>
      <c r="BK35" s="45">
        <v>0</v>
      </c>
      <c r="BL35" s="46">
        <v>0</v>
      </c>
      <c r="BM35" s="45">
        <v>0</v>
      </c>
      <c r="BN35" s="47">
        <v>1005</v>
      </c>
      <c r="BO35" s="45">
        <v>0</v>
      </c>
      <c r="BP35" s="48">
        <v>0</v>
      </c>
      <c r="BQ35" s="52">
        <v>0</v>
      </c>
      <c r="BR35" s="45">
        <v>0</v>
      </c>
      <c r="BS35" s="49">
        <f t="shared" si="28"/>
        <v>0</v>
      </c>
      <c r="BT35" s="41">
        <v>0</v>
      </c>
      <c r="BU35" s="41">
        <v>0</v>
      </c>
      <c r="BV35" s="51">
        <f t="shared" si="29"/>
        <v>0</v>
      </c>
      <c r="BW35" s="41">
        <f t="shared" si="30"/>
        <v>0</v>
      </c>
      <c r="BX35" s="42">
        <v>0</v>
      </c>
      <c r="BY35" s="42">
        <v>0</v>
      </c>
      <c r="CA35" s="42">
        <v>0</v>
      </c>
      <c r="CB35" s="42">
        <v>0</v>
      </c>
      <c r="CD35" s="42">
        <v>0</v>
      </c>
      <c r="CE35" s="42">
        <v>0</v>
      </c>
      <c r="CF35" s="42">
        <v>0</v>
      </c>
      <c r="CG35" s="42">
        <v>0</v>
      </c>
    </row>
    <row r="36" spans="1:85">
      <c r="A36" s="452"/>
      <c r="B36" s="24">
        <v>43432</v>
      </c>
      <c r="C36" s="25">
        <v>68</v>
      </c>
      <c r="D36" s="26">
        <v>0.65</v>
      </c>
      <c r="E36" s="38">
        <v>58</v>
      </c>
      <c r="F36" s="27">
        <v>86</v>
      </c>
      <c r="G36" s="27">
        <v>58</v>
      </c>
      <c r="H36" s="28">
        <v>0</v>
      </c>
      <c r="I36" s="28">
        <v>0</v>
      </c>
      <c r="J36" s="28">
        <v>0</v>
      </c>
      <c r="K36" s="28">
        <v>0</v>
      </c>
      <c r="L36" s="29">
        <v>0</v>
      </c>
      <c r="M36" s="29">
        <v>0</v>
      </c>
      <c r="N36" s="29">
        <v>0</v>
      </c>
      <c r="O36" s="29">
        <v>0</v>
      </c>
      <c r="P36" s="29">
        <v>0</v>
      </c>
      <c r="Q36" s="29">
        <v>0</v>
      </c>
      <c r="R36" s="29">
        <v>3680</v>
      </c>
      <c r="S36" s="30">
        <v>0</v>
      </c>
      <c r="T36" s="30">
        <v>0</v>
      </c>
      <c r="U36" s="31">
        <v>0</v>
      </c>
      <c r="V36" s="31">
        <v>0</v>
      </c>
      <c r="W36" s="28">
        <v>43</v>
      </c>
      <c r="X36" s="28">
        <v>1440</v>
      </c>
      <c r="Y36" s="28">
        <v>46</v>
      </c>
      <c r="Z36" s="28">
        <v>1440</v>
      </c>
      <c r="AA36" s="28">
        <v>60</v>
      </c>
      <c r="AB36" s="27">
        <v>1440</v>
      </c>
      <c r="AC36" s="32">
        <f t="shared" si="31"/>
        <v>7</v>
      </c>
      <c r="AD36" s="33">
        <f t="shared" si="16"/>
        <v>0</v>
      </c>
      <c r="AE36" s="27">
        <v>0</v>
      </c>
      <c r="AF36" s="34" t="str">
        <f t="shared" si="17"/>
        <v>no data</v>
      </c>
      <c r="AG36" s="35">
        <f t="shared" si="18"/>
        <v>153.33333333333334</v>
      </c>
      <c r="AH36" s="34" t="str">
        <f t="shared" si="19"/>
        <v>no data</v>
      </c>
      <c r="AI36" s="36">
        <f t="shared" si="20"/>
        <v>0</v>
      </c>
      <c r="AJ36" s="37" t="str">
        <f t="shared" si="21"/>
        <v>no data</v>
      </c>
      <c r="AK36" s="235">
        <v>0</v>
      </c>
      <c r="AL36" s="235">
        <v>0</v>
      </c>
      <c r="AM36" s="38">
        <f t="shared" si="22"/>
        <v>0</v>
      </c>
      <c r="AN36" s="235">
        <v>0</v>
      </c>
      <c r="AO36" s="380">
        <v>0</v>
      </c>
      <c r="AP36" s="39">
        <f t="shared" si="23"/>
        <v>0</v>
      </c>
      <c r="AQ36" s="201" t="str">
        <f t="shared" si="24"/>
        <v>no data</v>
      </c>
      <c r="AR36" s="198">
        <f t="shared" si="25"/>
        <v>0</v>
      </c>
      <c r="AS36" s="13"/>
      <c r="AT36" s="27">
        <v>0</v>
      </c>
      <c r="AU36" s="40">
        <v>0</v>
      </c>
      <c r="AV36" s="40">
        <v>0</v>
      </c>
      <c r="AW36" s="27">
        <v>0</v>
      </c>
      <c r="AX36" s="40">
        <v>0</v>
      </c>
      <c r="AY36" s="27">
        <v>0</v>
      </c>
      <c r="AZ36" s="27">
        <v>7</v>
      </c>
      <c r="BA36" s="4"/>
      <c r="BB36" s="41">
        <v>0</v>
      </c>
      <c r="BC36" s="41">
        <v>0</v>
      </c>
      <c r="BD36" s="41">
        <v>0</v>
      </c>
      <c r="BE36" s="41">
        <v>0</v>
      </c>
      <c r="BF36" s="41" t="str">
        <f t="shared" si="26"/>
        <v>no data</v>
      </c>
      <c r="BG36" s="77">
        <f t="shared" si="27"/>
        <v>0</v>
      </c>
      <c r="BH36" s="43">
        <v>0</v>
      </c>
      <c r="BI36" s="44">
        <v>0</v>
      </c>
      <c r="BJ36" s="45">
        <v>0</v>
      </c>
      <c r="BK36" s="46">
        <v>0</v>
      </c>
      <c r="BL36" s="45">
        <v>0</v>
      </c>
      <c r="BM36" s="45">
        <v>0</v>
      </c>
      <c r="BN36" s="47">
        <v>1006</v>
      </c>
      <c r="BO36" s="45">
        <v>0</v>
      </c>
      <c r="BP36" s="48">
        <v>0</v>
      </c>
      <c r="BQ36" s="46">
        <v>0</v>
      </c>
      <c r="BR36" s="45">
        <v>0</v>
      </c>
      <c r="BS36" s="49">
        <f t="shared" si="28"/>
        <v>0</v>
      </c>
      <c r="BT36" s="41">
        <v>0</v>
      </c>
      <c r="BU36" s="41">
        <v>0</v>
      </c>
      <c r="BV36" s="51">
        <f t="shared" si="29"/>
        <v>0</v>
      </c>
      <c r="BW36" s="41">
        <f t="shared" si="30"/>
        <v>0</v>
      </c>
      <c r="BX36" s="42">
        <v>0</v>
      </c>
      <c r="BY36" s="42">
        <v>0</v>
      </c>
      <c r="CA36" s="42">
        <v>0</v>
      </c>
      <c r="CB36" s="42">
        <v>0</v>
      </c>
      <c r="CD36" s="42">
        <v>0</v>
      </c>
      <c r="CE36" s="42">
        <v>0</v>
      </c>
      <c r="CF36" s="42">
        <v>0</v>
      </c>
      <c r="CG36" s="42">
        <v>0</v>
      </c>
    </row>
    <row r="37" spans="1:85">
      <c r="A37" s="452"/>
      <c r="B37" s="24">
        <v>43433</v>
      </c>
      <c r="C37" s="25">
        <v>67.3</v>
      </c>
      <c r="D37" s="26">
        <v>0.67600000000000005</v>
      </c>
      <c r="E37" s="38">
        <v>57.8</v>
      </c>
      <c r="F37" s="27">
        <v>82</v>
      </c>
      <c r="G37" s="27">
        <v>42</v>
      </c>
      <c r="H37" s="28">
        <v>0</v>
      </c>
      <c r="I37" s="28">
        <v>0</v>
      </c>
      <c r="J37" s="28">
        <v>0</v>
      </c>
      <c r="K37" s="28">
        <v>0</v>
      </c>
      <c r="L37" s="29">
        <v>0</v>
      </c>
      <c r="M37" s="29">
        <v>0</v>
      </c>
      <c r="N37" s="29">
        <v>0</v>
      </c>
      <c r="O37" s="29">
        <v>0</v>
      </c>
      <c r="P37" s="29">
        <v>0</v>
      </c>
      <c r="Q37" s="29">
        <v>0</v>
      </c>
      <c r="R37" s="29">
        <v>3691</v>
      </c>
      <c r="S37" s="30">
        <v>0</v>
      </c>
      <c r="T37" s="30">
        <v>0</v>
      </c>
      <c r="U37" s="31">
        <v>0</v>
      </c>
      <c r="V37" s="31">
        <v>0</v>
      </c>
      <c r="W37" s="28">
        <v>43</v>
      </c>
      <c r="X37" s="28">
        <v>1440</v>
      </c>
      <c r="Y37" s="28">
        <v>46</v>
      </c>
      <c r="Z37" s="28">
        <v>1440</v>
      </c>
      <c r="AA37" s="28">
        <v>60</v>
      </c>
      <c r="AB37" s="27">
        <v>1440</v>
      </c>
      <c r="AC37" s="32">
        <f t="shared" si="31"/>
        <v>4</v>
      </c>
      <c r="AD37" s="33">
        <f t="shared" si="16"/>
        <v>0</v>
      </c>
      <c r="AE37" s="27">
        <v>0</v>
      </c>
      <c r="AF37" s="34" t="str">
        <f t="shared" si="17"/>
        <v>no data</v>
      </c>
      <c r="AG37" s="35">
        <f t="shared" si="18"/>
        <v>153.79166666666666</v>
      </c>
      <c r="AH37" s="34" t="str">
        <f t="shared" si="19"/>
        <v>no data</v>
      </c>
      <c r="AI37" s="36">
        <f t="shared" si="20"/>
        <v>0</v>
      </c>
      <c r="AJ37" s="37" t="str">
        <f t="shared" si="21"/>
        <v>no data</v>
      </c>
      <c r="AK37" s="44">
        <v>0</v>
      </c>
      <c r="AL37" s="381">
        <v>0</v>
      </c>
      <c r="AM37" s="38">
        <f t="shared" si="22"/>
        <v>0</v>
      </c>
      <c r="AN37" s="44">
        <v>0</v>
      </c>
      <c r="AO37" s="381">
        <v>0</v>
      </c>
      <c r="AP37" s="39">
        <f t="shared" si="23"/>
        <v>0</v>
      </c>
      <c r="AQ37" s="201" t="str">
        <f t="shared" si="24"/>
        <v>no data</v>
      </c>
      <c r="AR37" s="198">
        <f t="shared" si="25"/>
        <v>0</v>
      </c>
      <c r="AS37" s="13"/>
      <c r="AT37" s="27">
        <v>0</v>
      </c>
      <c r="AU37" s="40">
        <v>0</v>
      </c>
      <c r="AV37" s="40">
        <v>0</v>
      </c>
      <c r="AW37" s="27">
        <v>0</v>
      </c>
      <c r="AX37" s="40">
        <v>0</v>
      </c>
      <c r="AY37" s="27">
        <v>0</v>
      </c>
      <c r="AZ37" s="27">
        <v>4</v>
      </c>
      <c r="BA37" s="4"/>
      <c r="BB37" s="41">
        <v>0</v>
      </c>
      <c r="BC37" s="41">
        <v>0</v>
      </c>
      <c r="BD37" s="41">
        <v>0</v>
      </c>
      <c r="BE37" s="41">
        <v>0</v>
      </c>
      <c r="BF37" s="41" t="str">
        <f t="shared" si="26"/>
        <v>no data</v>
      </c>
      <c r="BG37" s="77">
        <f t="shared" si="27"/>
        <v>0</v>
      </c>
      <c r="BH37" s="43">
        <v>0</v>
      </c>
      <c r="BI37" s="44">
        <v>0</v>
      </c>
      <c r="BJ37" s="45">
        <v>0</v>
      </c>
      <c r="BK37" s="46">
        <v>0</v>
      </c>
      <c r="BL37" s="45">
        <v>0</v>
      </c>
      <c r="BM37" s="45">
        <v>0</v>
      </c>
      <c r="BN37" s="47">
        <v>1006</v>
      </c>
      <c r="BO37" s="45">
        <v>0</v>
      </c>
      <c r="BP37" s="53">
        <v>0</v>
      </c>
      <c r="BQ37" s="45">
        <v>0</v>
      </c>
      <c r="BR37" s="45">
        <v>0</v>
      </c>
      <c r="BS37" s="49">
        <f t="shared" si="28"/>
        <v>0</v>
      </c>
      <c r="BT37" s="41">
        <v>0</v>
      </c>
      <c r="BU37" s="41">
        <v>0</v>
      </c>
      <c r="BV37" s="51">
        <f t="shared" si="29"/>
        <v>0</v>
      </c>
      <c r="BW37" s="41">
        <f t="shared" si="30"/>
        <v>0</v>
      </c>
      <c r="BX37" s="42">
        <v>0</v>
      </c>
      <c r="BY37" s="42">
        <v>0</v>
      </c>
      <c r="CA37" s="42">
        <v>0</v>
      </c>
      <c r="CB37" s="42">
        <v>0</v>
      </c>
      <c r="CD37" s="42">
        <v>0</v>
      </c>
      <c r="CE37" s="42">
        <v>0</v>
      </c>
      <c r="CF37" s="42">
        <v>0</v>
      </c>
      <c r="CG37" s="42">
        <v>0</v>
      </c>
    </row>
    <row r="38" spans="1:85">
      <c r="A38" s="452"/>
      <c r="B38" s="24">
        <v>43434</v>
      </c>
      <c r="C38" s="25">
        <v>67.3</v>
      </c>
      <c r="D38" s="26">
        <v>0.67600000000000005</v>
      </c>
      <c r="E38" s="38">
        <v>57.8</v>
      </c>
      <c r="F38" s="27">
        <v>82</v>
      </c>
      <c r="G38" s="27">
        <v>58</v>
      </c>
      <c r="H38" s="28">
        <v>0</v>
      </c>
      <c r="I38" s="28">
        <v>0</v>
      </c>
      <c r="J38" s="28">
        <v>0</v>
      </c>
      <c r="K38" s="28">
        <v>0</v>
      </c>
      <c r="L38" s="29">
        <v>0</v>
      </c>
      <c r="M38" s="29">
        <v>0</v>
      </c>
      <c r="N38" s="29">
        <v>0</v>
      </c>
      <c r="O38" s="29">
        <v>0</v>
      </c>
      <c r="P38" s="29">
        <v>0</v>
      </c>
      <c r="Q38" s="29">
        <v>0</v>
      </c>
      <c r="R38" s="29">
        <v>3691</v>
      </c>
      <c r="S38" s="30">
        <v>0</v>
      </c>
      <c r="T38" s="30">
        <v>0</v>
      </c>
      <c r="U38" s="31">
        <v>0</v>
      </c>
      <c r="V38" s="31">
        <v>0</v>
      </c>
      <c r="W38" s="28">
        <v>43</v>
      </c>
      <c r="X38" s="28">
        <v>1440</v>
      </c>
      <c r="Y38" s="28">
        <v>46</v>
      </c>
      <c r="Z38" s="28">
        <v>1440</v>
      </c>
      <c r="AA38" s="28">
        <v>60</v>
      </c>
      <c r="AB38" s="27">
        <v>1440</v>
      </c>
      <c r="AC38" s="32">
        <f t="shared" si="31"/>
        <v>2</v>
      </c>
      <c r="AD38" s="33">
        <f t="shared" si="16"/>
        <v>0</v>
      </c>
      <c r="AE38" s="27">
        <v>0</v>
      </c>
      <c r="AF38" s="34" t="str">
        <f t="shared" si="17"/>
        <v>no data</v>
      </c>
      <c r="AG38" s="35">
        <f t="shared" si="18"/>
        <v>153.79166666666666</v>
      </c>
      <c r="AH38" s="34" t="str">
        <f t="shared" si="19"/>
        <v>no data</v>
      </c>
      <c r="AI38" s="36">
        <f t="shared" si="20"/>
        <v>0</v>
      </c>
      <c r="AJ38" s="37" t="str">
        <f t="shared" si="21"/>
        <v>no data</v>
      </c>
      <c r="AK38" s="44">
        <v>0</v>
      </c>
      <c r="AL38" s="381">
        <v>0</v>
      </c>
      <c r="AM38" s="38">
        <f t="shared" si="22"/>
        <v>0</v>
      </c>
      <c r="AN38" s="44">
        <v>0</v>
      </c>
      <c r="AO38" s="381">
        <v>0</v>
      </c>
      <c r="AP38" s="39">
        <f t="shared" si="23"/>
        <v>0</v>
      </c>
      <c r="AQ38" s="201" t="str">
        <f t="shared" si="24"/>
        <v>no data</v>
      </c>
      <c r="AR38" s="198">
        <f t="shared" si="25"/>
        <v>0</v>
      </c>
      <c r="AS38" s="13"/>
      <c r="AT38" s="27">
        <v>0</v>
      </c>
      <c r="AU38" s="40">
        <v>0</v>
      </c>
      <c r="AV38" s="40">
        <v>0</v>
      </c>
      <c r="AW38" s="27">
        <v>0</v>
      </c>
      <c r="AX38" s="40">
        <v>0</v>
      </c>
      <c r="AY38" s="27">
        <v>0</v>
      </c>
      <c r="AZ38" s="27">
        <v>2</v>
      </c>
      <c r="BA38" s="4"/>
      <c r="BB38" s="41">
        <v>0</v>
      </c>
      <c r="BC38" s="41">
        <v>0</v>
      </c>
      <c r="BD38" s="41">
        <v>0</v>
      </c>
      <c r="BE38" s="41">
        <v>0</v>
      </c>
      <c r="BF38" s="41" t="str">
        <f t="shared" si="26"/>
        <v>no data</v>
      </c>
      <c r="BG38" s="77">
        <f t="shared" si="27"/>
        <v>0</v>
      </c>
      <c r="BH38" s="43">
        <v>0</v>
      </c>
      <c r="BI38" s="44">
        <v>0</v>
      </c>
      <c r="BJ38" s="45">
        <v>0</v>
      </c>
      <c r="BK38" s="46">
        <v>0</v>
      </c>
      <c r="BL38" s="47">
        <v>0</v>
      </c>
      <c r="BM38" s="47">
        <v>0</v>
      </c>
      <c r="BN38" s="47">
        <v>1005</v>
      </c>
      <c r="BO38" s="45">
        <v>0</v>
      </c>
      <c r="BP38" s="48">
        <v>0</v>
      </c>
      <c r="BQ38" s="42">
        <v>0</v>
      </c>
      <c r="BR38" s="42">
        <v>0</v>
      </c>
      <c r="BS38" s="49">
        <f t="shared" si="28"/>
        <v>0</v>
      </c>
      <c r="BT38" s="41">
        <v>0</v>
      </c>
      <c r="BU38" s="41">
        <v>0</v>
      </c>
      <c r="BV38" s="51">
        <f t="shared" si="29"/>
        <v>0</v>
      </c>
      <c r="BW38" s="41">
        <v>0</v>
      </c>
      <c r="BX38" s="42">
        <v>0</v>
      </c>
      <c r="BY38" s="42">
        <v>0</v>
      </c>
      <c r="CA38" s="42">
        <v>0</v>
      </c>
      <c r="CB38" s="42">
        <v>0</v>
      </c>
      <c r="CD38" s="42">
        <v>0</v>
      </c>
      <c r="CE38" s="42">
        <v>0</v>
      </c>
      <c r="CF38" s="42">
        <v>0</v>
      </c>
      <c r="CG38" s="42">
        <v>0</v>
      </c>
    </row>
    <row r="39" spans="1:85">
      <c r="A39" s="452"/>
      <c r="B39" s="24">
        <v>43435</v>
      </c>
      <c r="C39" s="25"/>
      <c r="D39" s="26"/>
      <c r="E39" s="38"/>
      <c r="F39" s="27"/>
      <c r="G39" s="27"/>
      <c r="H39" s="28"/>
      <c r="I39" s="28"/>
      <c r="J39" s="28"/>
      <c r="K39" s="28"/>
      <c r="L39" s="29"/>
      <c r="M39" s="29"/>
      <c r="N39" s="29"/>
      <c r="O39" s="29"/>
      <c r="P39" s="29"/>
      <c r="Q39" s="29"/>
      <c r="R39" s="29"/>
      <c r="S39" s="30"/>
      <c r="T39" s="30"/>
      <c r="U39" s="31"/>
      <c r="V39" s="31"/>
      <c r="W39" s="28"/>
      <c r="X39" s="28"/>
      <c r="Y39" s="28"/>
      <c r="Z39" s="28"/>
      <c r="AA39" s="28"/>
      <c r="AB39" s="27"/>
      <c r="AC39" s="32">
        <f t="shared" si="31"/>
        <v>0</v>
      </c>
      <c r="AD39" s="33">
        <f t="shared" si="16"/>
        <v>0</v>
      </c>
      <c r="AE39" s="27"/>
      <c r="AF39" s="34" t="str">
        <f t="shared" si="17"/>
        <v>no data</v>
      </c>
      <c r="AG39" s="35" t="str">
        <f t="shared" si="18"/>
        <v>no data</v>
      </c>
      <c r="AH39" s="34" t="str">
        <f t="shared" si="19"/>
        <v>no data</v>
      </c>
      <c r="AI39" s="36" t="e">
        <f t="shared" si="20"/>
        <v>#DIV/0!</v>
      </c>
      <c r="AJ39" s="37" t="str">
        <f t="shared" si="21"/>
        <v>no data</v>
      </c>
      <c r="AK39" s="44"/>
      <c r="AL39" s="381"/>
      <c r="AM39" s="38">
        <f t="shared" si="22"/>
        <v>0</v>
      </c>
      <c r="AN39" s="44"/>
      <c r="AO39" s="381"/>
      <c r="AP39" s="39">
        <f t="shared" si="23"/>
        <v>0</v>
      </c>
      <c r="AQ39" s="201" t="str">
        <f t="shared" si="24"/>
        <v>no data</v>
      </c>
      <c r="AR39" s="198">
        <f t="shared" si="25"/>
        <v>0</v>
      </c>
      <c r="AS39" s="13"/>
      <c r="AT39" s="27"/>
      <c r="AU39" s="40"/>
      <c r="AV39" s="40"/>
      <c r="AW39" s="27"/>
      <c r="AX39" s="40"/>
      <c r="AY39" s="27"/>
      <c r="AZ39" s="27"/>
      <c r="BA39" s="4"/>
      <c r="BB39" s="41"/>
      <c r="BC39" s="41"/>
      <c r="BD39" s="41"/>
      <c r="BE39" s="41">
        <f>BC39-BB39</f>
        <v>0</v>
      </c>
      <c r="BF39" s="41" t="str">
        <f t="shared" si="26"/>
        <v>no data</v>
      </c>
      <c r="BG39" s="77">
        <f t="shared" si="27"/>
        <v>0</v>
      </c>
      <c r="BH39" s="43"/>
      <c r="BI39" s="44"/>
      <c r="BJ39" s="45"/>
      <c r="BK39" s="46"/>
      <c r="BL39" s="47"/>
      <c r="BM39" s="47"/>
      <c r="BN39" s="47"/>
      <c r="BO39" s="45"/>
      <c r="BP39" s="48"/>
      <c r="BQ39" s="42"/>
      <c r="BR39" s="42"/>
      <c r="BS39" s="49">
        <f t="shared" si="28"/>
        <v>0</v>
      </c>
      <c r="BT39" s="41"/>
      <c r="BU39" s="41"/>
      <c r="BV39" s="51">
        <f t="shared" si="29"/>
        <v>0</v>
      </c>
      <c r="BW39" s="41">
        <f t="shared" si="30"/>
        <v>0</v>
      </c>
      <c r="BX39" s="41"/>
      <c r="BY39" s="41"/>
      <c r="CA39" s="41"/>
      <c r="CB39" s="41"/>
      <c r="CD39" s="41"/>
      <c r="CE39" s="41"/>
      <c r="CF39" s="41"/>
      <c r="CG39" s="41"/>
    </row>
    <row r="40" spans="1:85">
      <c r="A40" s="453"/>
      <c r="B40" s="24">
        <v>43436</v>
      </c>
      <c r="C40" s="25"/>
      <c r="D40" s="26"/>
      <c r="E40" s="38"/>
      <c r="F40" s="27"/>
      <c r="G40" s="27"/>
      <c r="H40" s="28"/>
      <c r="I40" s="28"/>
      <c r="J40" s="28"/>
      <c r="K40" s="28"/>
      <c r="L40" s="29"/>
      <c r="M40" s="29"/>
      <c r="N40" s="29"/>
      <c r="O40" s="29"/>
      <c r="P40" s="29"/>
      <c r="Q40" s="29"/>
      <c r="R40" s="29"/>
      <c r="S40" s="30"/>
      <c r="T40" s="30"/>
      <c r="U40" s="31"/>
      <c r="V40" s="31"/>
      <c r="W40" s="28"/>
      <c r="X40" s="28"/>
      <c r="Y40" s="28"/>
      <c r="Z40" s="28"/>
      <c r="AA40" s="28"/>
      <c r="AB40" s="27"/>
      <c r="AC40" s="32">
        <f t="shared" si="31"/>
        <v>0</v>
      </c>
      <c r="AD40" s="33">
        <f t="shared" si="16"/>
        <v>0</v>
      </c>
      <c r="AE40" s="27"/>
      <c r="AF40" s="34" t="str">
        <f t="shared" si="17"/>
        <v>no data</v>
      </c>
      <c r="AG40" s="35" t="str">
        <f t="shared" si="18"/>
        <v>no data</v>
      </c>
      <c r="AH40" s="34" t="str">
        <f t="shared" si="19"/>
        <v>no data</v>
      </c>
      <c r="AI40" s="36" t="e">
        <f t="shared" si="20"/>
        <v>#DIV/0!</v>
      </c>
      <c r="AJ40" s="37" t="str">
        <f t="shared" si="21"/>
        <v>no data</v>
      </c>
      <c r="AK40" s="44"/>
      <c r="AL40" s="381"/>
      <c r="AM40" s="38">
        <f t="shared" si="22"/>
        <v>0</v>
      </c>
      <c r="AN40" s="44"/>
      <c r="AO40" s="381"/>
      <c r="AP40" s="39">
        <f t="shared" si="23"/>
        <v>0</v>
      </c>
      <c r="AQ40" s="201" t="str">
        <f t="shared" si="24"/>
        <v>no data</v>
      </c>
      <c r="AR40" s="198">
        <f t="shared" si="25"/>
        <v>0</v>
      </c>
      <c r="AS40" s="13"/>
      <c r="AT40" s="27"/>
      <c r="AU40" s="40"/>
      <c r="AV40" s="40"/>
      <c r="AW40" s="27"/>
      <c r="AX40" s="40"/>
      <c r="AY40" s="27"/>
      <c r="AZ40" s="27"/>
      <c r="BA40" s="4"/>
      <c r="BB40" s="41"/>
      <c r="BC40" s="41"/>
      <c r="BD40" s="41"/>
      <c r="BE40" s="41">
        <f>BC40-BB40</f>
        <v>0</v>
      </c>
      <c r="BF40" s="41" t="str">
        <f t="shared" si="26"/>
        <v>no data</v>
      </c>
      <c r="BG40" s="77">
        <f t="shared" si="27"/>
        <v>0</v>
      </c>
      <c r="BH40" s="43"/>
      <c r="BI40" s="44"/>
      <c r="BJ40" s="45"/>
      <c r="BK40" s="46"/>
      <c r="BL40" s="47"/>
      <c r="BM40" s="47"/>
      <c r="BN40" s="47"/>
      <c r="BO40" s="45"/>
      <c r="BP40" s="48"/>
      <c r="BQ40" s="42"/>
      <c r="BR40" s="42"/>
      <c r="BS40" s="49">
        <f t="shared" si="28"/>
        <v>0</v>
      </c>
      <c r="BT40" s="41"/>
      <c r="BU40" s="41"/>
      <c r="BV40" s="51">
        <f t="shared" si="29"/>
        <v>0</v>
      </c>
      <c r="BW40" s="41">
        <f t="shared" si="30"/>
        <v>0</v>
      </c>
      <c r="BX40" s="78"/>
      <c r="BY40" s="78"/>
      <c r="CA40" s="78"/>
      <c r="CB40" s="78"/>
      <c r="CD40" s="78"/>
      <c r="CE40" s="78"/>
      <c r="CF40" s="78"/>
      <c r="CG40" s="78"/>
    </row>
    <row r="41" spans="1:85">
      <c r="A41" s="79"/>
      <c r="B41" s="80" t="s">
        <v>83</v>
      </c>
      <c r="C41" s="81">
        <f>AVERAGE(C9:C38)</f>
        <v>68.705000000000013</v>
      </c>
      <c r="D41" s="82">
        <f>AVERAGE(D9:D38)</f>
        <v>0.60318999999999978</v>
      </c>
      <c r="E41" s="398">
        <f>AVERAGE(E9:E38)</f>
        <v>56.434333333333335</v>
      </c>
      <c r="F41" s="398">
        <f>AVERAGE(F9:F38)</f>
        <v>82.941666666666663</v>
      </c>
      <c r="G41" s="398">
        <f>AVERAGE(G9:G38)</f>
        <v>58.105666666666671</v>
      </c>
      <c r="H41" s="81">
        <f>SUM(H9:H38)+(INT(SUM(I9:I38)/60))</f>
        <v>0</v>
      </c>
      <c r="I41" s="81">
        <f>SUM(I9:I38)-(INT(SUM(I9:I38)/60)*60)</f>
        <v>0</v>
      </c>
      <c r="J41" s="81">
        <f>SUM(J9:J38)+(INT(SUM(K9:K38)/60))</f>
        <v>0</v>
      </c>
      <c r="K41" s="81">
        <f t="shared" ref="K41:Q41" si="32">SUM(K9:K38)-(INT(SUM(K9:K38)/60)*60)</f>
        <v>0</v>
      </c>
      <c r="L41" s="81">
        <f t="shared" si="32"/>
        <v>0</v>
      </c>
      <c r="M41" s="81">
        <f t="shared" si="32"/>
        <v>0</v>
      </c>
      <c r="N41" s="81">
        <f t="shared" si="32"/>
        <v>0</v>
      </c>
      <c r="O41" s="81">
        <f t="shared" si="32"/>
        <v>0</v>
      </c>
      <c r="P41" s="81">
        <f t="shared" si="32"/>
        <v>0</v>
      </c>
      <c r="Q41" s="81">
        <f t="shared" si="32"/>
        <v>0</v>
      </c>
      <c r="R41" s="83">
        <f>SUM(R9:R38)</f>
        <v>110899</v>
      </c>
      <c r="S41" s="83">
        <f>SUM(S9:S38)</f>
        <v>0</v>
      </c>
      <c r="T41" s="83">
        <f>SUM(T9:T38)</f>
        <v>0</v>
      </c>
      <c r="U41" s="83">
        <f>SUM(U9:U38)</f>
        <v>0</v>
      </c>
      <c r="V41" s="83">
        <f>SUM(V9:V38)</f>
        <v>0</v>
      </c>
      <c r="W41" s="85">
        <f>AVERAGE(W9:W38)</f>
        <v>43</v>
      </c>
      <c r="X41" s="85">
        <f>SUM(X9:X38)</f>
        <v>43200</v>
      </c>
      <c r="Y41" s="85">
        <f>AVERAGE(Y9:Y38)</f>
        <v>46</v>
      </c>
      <c r="Z41" s="85">
        <f>SUM(Z9:Z38)</f>
        <v>43200</v>
      </c>
      <c r="AA41" s="85">
        <f>AVERAGE(AA9:AA38)</f>
        <v>60</v>
      </c>
      <c r="AB41" s="85">
        <f>SUM(AB9:AB38)</f>
        <v>43200</v>
      </c>
      <c r="AC41" s="86">
        <f>V41-U41+AZ41</f>
        <v>154</v>
      </c>
      <c r="AD41" s="87">
        <f>(SUM($AD$9:$AD$38))</f>
        <v>0</v>
      </c>
      <c r="AE41" s="87">
        <f t="shared" ref="AE41:AJ41" si="33">AVERAGE(AE9:AE38)</f>
        <v>0</v>
      </c>
      <c r="AF41" s="87" t="e">
        <f t="shared" si="33"/>
        <v>#DIV/0!</v>
      </c>
      <c r="AG41" s="90">
        <f t="shared" si="33"/>
        <v>154.0263888888889</v>
      </c>
      <c r="AH41" s="87" t="e">
        <f t="shared" si="33"/>
        <v>#DIV/0!</v>
      </c>
      <c r="AI41" s="87">
        <f t="shared" si="33"/>
        <v>0</v>
      </c>
      <c r="AJ41" s="87">
        <f t="shared" si="33"/>
        <v>0</v>
      </c>
      <c r="AK41" s="89">
        <f>SUM(AK9:AK38)</f>
        <v>0</v>
      </c>
      <c r="AL41" s="89">
        <f>AVERAGE(AL9:AL38)</f>
        <v>0</v>
      </c>
      <c r="AM41" s="89">
        <f>SUM(AM9:AM38)</f>
        <v>0</v>
      </c>
      <c r="AN41" s="89">
        <f>SUM(AN9:AN38)</f>
        <v>0</v>
      </c>
      <c r="AO41" s="87">
        <f>AVERAGE(AO9:AO38)</f>
        <v>0</v>
      </c>
      <c r="AP41" s="90">
        <f>SUM(AP9:AP38)</f>
        <v>0</v>
      </c>
      <c r="AQ41" s="91" t="e">
        <f>((AM41+AP41))/(U41*1000)*1000000</f>
        <v>#DIV/0!</v>
      </c>
      <c r="AR41" s="91">
        <f>AVERAGE(AR9:AR38)</f>
        <v>0</v>
      </c>
      <c r="AS41" s="13"/>
      <c r="AT41" s="93">
        <f>SUM(AT9:AT38)</f>
        <v>0</v>
      </c>
      <c r="AU41" s="93">
        <f t="shared" ref="AU41:BD41" si="34">SUM(AU9:AU38)</f>
        <v>0</v>
      </c>
      <c r="AV41" s="93">
        <f t="shared" si="34"/>
        <v>0</v>
      </c>
      <c r="AW41" s="93">
        <f t="shared" si="34"/>
        <v>0</v>
      </c>
      <c r="AX41" s="93">
        <f t="shared" si="34"/>
        <v>0</v>
      </c>
      <c r="AY41" s="93">
        <f t="shared" si="34"/>
        <v>0</v>
      </c>
      <c r="AZ41" s="93">
        <f t="shared" si="34"/>
        <v>154</v>
      </c>
      <c r="BA41" s="4"/>
      <c r="BB41" s="93">
        <f t="shared" si="34"/>
        <v>0</v>
      </c>
      <c r="BC41" s="93">
        <f t="shared" si="34"/>
        <v>0</v>
      </c>
      <c r="BD41" s="93">
        <f t="shared" si="34"/>
        <v>0</v>
      </c>
      <c r="BE41" s="6">
        <f>(BC41-BB41)</f>
        <v>0</v>
      </c>
      <c r="BF41" s="95" t="e">
        <f>AQ41</f>
        <v>#DIV/0!</v>
      </c>
      <c r="BG41" s="95">
        <f t="shared" ref="BG41:BM41" si="35">SUM(BG9:BG38)</f>
        <v>0</v>
      </c>
      <c r="BH41" s="95">
        <f t="shared" si="35"/>
        <v>0</v>
      </c>
      <c r="BI41" s="95">
        <f t="shared" si="35"/>
        <v>0</v>
      </c>
      <c r="BJ41" s="95">
        <f t="shared" si="35"/>
        <v>0</v>
      </c>
      <c r="BK41" s="95">
        <f t="shared" si="35"/>
        <v>0</v>
      </c>
      <c r="BL41" s="95">
        <f t="shared" si="35"/>
        <v>0</v>
      </c>
      <c r="BM41" s="95">
        <f t="shared" si="35"/>
        <v>0</v>
      </c>
      <c r="BN41" s="96">
        <f>AVERAGE(BN9:BN38)</f>
        <v>1003.9533333333333</v>
      </c>
      <c r="BO41" s="96">
        <f t="shared" ref="BO41:BV41" si="36">AVERAGE(BO9:BO38)</f>
        <v>0</v>
      </c>
      <c r="BP41" s="96">
        <f t="shared" si="36"/>
        <v>0</v>
      </c>
      <c r="BQ41" s="96">
        <f t="shared" si="36"/>
        <v>0</v>
      </c>
      <c r="BR41" s="96">
        <f t="shared" si="36"/>
        <v>0</v>
      </c>
      <c r="BS41" s="96">
        <f t="shared" si="36"/>
        <v>0</v>
      </c>
      <c r="BT41" s="96">
        <f t="shared" si="36"/>
        <v>0</v>
      </c>
      <c r="BU41" s="96">
        <f t="shared" si="36"/>
        <v>0</v>
      </c>
      <c r="BV41" s="96">
        <f t="shared" si="36"/>
        <v>0</v>
      </c>
      <c r="BW41" s="97">
        <f>(SUM(BW9:BW38))</f>
        <v>0</v>
      </c>
      <c r="BX41" s="97">
        <f>(SUM(BX9:BX38))</f>
        <v>0</v>
      </c>
      <c r="BY41" s="97">
        <f>(SUM(BY9:BY38))</f>
        <v>0</v>
      </c>
      <c r="CA41" s="97">
        <f>(SUM(CA9:CA38))</f>
        <v>0</v>
      </c>
      <c r="CB41" s="97">
        <f>(SUM(CB9:CB38))</f>
        <v>3.3</v>
      </c>
      <c r="CD41" s="97">
        <f>AVERAGE(CD9:CD38)</f>
        <v>0</v>
      </c>
      <c r="CE41" s="97">
        <f>AVERAGE(CE9:CE38)</f>
        <v>0</v>
      </c>
      <c r="CF41" s="97">
        <f>AVERAGE(CF9:CF38)</f>
        <v>0</v>
      </c>
      <c r="CG41" s="97">
        <f>AVERAGE(CG9:CG38)</f>
        <v>0</v>
      </c>
    </row>
    <row r="42" spans="1:85" ht="15.75" thickBot="1">
      <c r="A42" s="98"/>
      <c r="B42" s="99" t="s">
        <v>84</v>
      </c>
      <c r="C42" s="100" t="s">
        <v>85</v>
      </c>
      <c r="D42" s="101" t="s">
        <v>86</v>
      </c>
      <c r="E42" s="101"/>
      <c r="F42" s="102" t="s">
        <v>87</v>
      </c>
      <c r="G42" s="102" t="s">
        <v>88</v>
      </c>
      <c r="H42" s="102" t="s">
        <v>75</v>
      </c>
      <c r="I42" s="102" t="s">
        <v>76</v>
      </c>
      <c r="J42" s="102" t="s">
        <v>75</v>
      </c>
      <c r="K42" s="102" t="s">
        <v>76</v>
      </c>
      <c r="L42" s="102" t="s">
        <v>75</v>
      </c>
      <c r="M42" s="102" t="s">
        <v>76</v>
      </c>
      <c r="N42" s="102" t="s">
        <v>75</v>
      </c>
      <c r="O42" s="102" t="s">
        <v>76</v>
      </c>
      <c r="P42" s="103" t="s">
        <v>89</v>
      </c>
      <c r="Q42" s="103" t="s">
        <v>90</v>
      </c>
      <c r="R42" s="103" t="s">
        <v>91</v>
      </c>
      <c r="S42" s="103" t="s">
        <v>91</v>
      </c>
      <c r="T42" s="103" t="s">
        <v>91</v>
      </c>
      <c r="U42" s="103" t="s">
        <v>91</v>
      </c>
      <c r="V42" s="103" t="s">
        <v>91</v>
      </c>
      <c r="W42" s="103" t="s">
        <v>92</v>
      </c>
      <c r="X42" s="103" t="s">
        <v>93</v>
      </c>
      <c r="Y42" s="103" t="s">
        <v>94</v>
      </c>
      <c r="Z42" s="103" t="s">
        <v>93</v>
      </c>
      <c r="AA42" s="103" t="s">
        <v>94</v>
      </c>
      <c r="AB42" s="103" t="s">
        <v>93</v>
      </c>
      <c r="AC42" s="103" t="s">
        <v>95</v>
      </c>
      <c r="AD42" s="103" t="s">
        <v>96</v>
      </c>
      <c r="AE42" s="103" t="s">
        <v>97</v>
      </c>
      <c r="AF42" s="103" t="s">
        <v>98</v>
      </c>
      <c r="AG42" s="103" t="s">
        <v>99</v>
      </c>
      <c r="AH42" s="103" t="s">
        <v>99</v>
      </c>
      <c r="AI42" s="103"/>
      <c r="AJ42" s="103" t="s">
        <v>99</v>
      </c>
      <c r="AK42" s="103" t="s">
        <v>100</v>
      </c>
      <c r="AL42" s="103" t="s">
        <v>99</v>
      </c>
      <c r="AM42" s="103"/>
      <c r="AN42" s="103" t="s">
        <v>100</v>
      </c>
      <c r="AO42" s="103" t="s">
        <v>99</v>
      </c>
      <c r="AP42" s="104"/>
      <c r="AQ42" s="105" t="s">
        <v>99</v>
      </c>
      <c r="AR42" s="106"/>
      <c r="AS42" s="107"/>
      <c r="AZ42" s="108" t="s">
        <v>100</v>
      </c>
      <c r="BA42" s="4"/>
      <c r="BF42" s="109" t="str">
        <f t="shared" si="26"/>
        <v>Avg.</v>
      </c>
      <c r="BS42" s="4"/>
      <c r="BT42" s="5"/>
      <c r="BU42" s="5"/>
      <c r="BV42" s="6"/>
    </row>
    <row r="43" spans="1:85" ht="15.75" thickBot="1">
      <c r="B43" s="110"/>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c r="AK43" s="110"/>
      <c r="AL43" s="110"/>
      <c r="AM43" s="111"/>
      <c r="AQ43" s="112"/>
      <c r="AR43" s="112"/>
      <c r="AS43" s="4"/>
      <c r="BA43" s="113"/>
      <c r="BB43" s="114"/>
      <c r="BC43" s="114"/>
      <c r="BD43" s="114"/>
      <c r="BE43" s="6"/>
      <c r="BS43" s="4"/>
      <c r="BT43" s="5"/>
      <c r="BU43" s="5"/>
      <c r="BV43" s="6"/>
    </row>
    <row r="44" spans="1:85" ht="59.25" customHeight="1" thickBot="1">
      <c r="B44" s="115" t="s">
        <v>101</v>
      </c>
      <c r="C44" s="116" t="s">
        <v>102</v>
      </c>
      <c r="D44" s="116" t="s">
        <v>103</v>
      </c>
      <c r="E44" s="392" t="s">
        <v>130</v>
      </c>
      <c r="F44" s="532" t="s">
        <v>104</v>
      </c>
      <c r="G44" s="533"/>
      <c r="H44" s="532" t="s">
        <v>105</v>
      </c>
      <c r="I44" s="533"/>
      <c r="J44" s="532" t="s">
        <v>106</v>
      </c>
      <c r="K44" s="533"/>
      <c r="L44" s="532" t="s">
        <v>107</v>
      </c>
      <c r="M44" s="533"/>
      <c r="N44" s="532" t="s">
        <v>108</v>
      </c>
      <c r="O44" s="533"/>
      <c r="P44" s="532" t="s">
        <v>109</v>
      </c>
      <c r="Q44" s="533"/>
      <c r="R44" s="118" t="s">
        <v>110</v>
      </c>
      <c r="S44" s="118" t="s">
        <v>111</v>
      </c>
      <c r="T44" s="393" t="s">
        <v>112</v>
      </c>
      <c r="U44" s="394" t="s">
        <v>11</v>
      </c>
      <c r="V44" s="393" t="s">
        <v>12</v>
      </c>
      <c r="W44" s="394" t="s">
        <v>113</v>
      </c>
      <c r="X44" s="394" t="s">
        <v>14</v>
      </c>
      <c r="Y44" s="394" t="s">
        <v>114</v>
      </c>
      <c r="Z44" s="394" t="s">
        <v>16</v>
      </c>
      <c r="AA44" s="394" t="s">
        <v>18</v>
      </c>
      <c r="AB44" s="394" t="s">
        <v>17</v>
      </c>
      <c r="AC44" s="118" t="s">
        <v>19</v>
      </c>
      <c r="AD44" s="120" t="s">
        <v>20</v>
      </c>
      <c r="AE44" s="121" t="s">
        <v>21</v>
      </c>
      <c r="AF44" s="121" t="s">
        <v>22</v>
      </c>
      <c r="AG44" s="121" t="s">
        <v>115</v>
      </c>
      <c r="AH44" s="395" t="s">
        <v>116</v>
      </c>
      <c r="AI44" s="395" t="s">
        <v>25</v>
      </c>
      <c r="AJ44" s="396" t="s">
        <v>26</v>
      </c>
      <c r="AK44" s="393" t="s">
        <v>117</v>
      </c>
      <c r="AL44" s="397" t="s">
        <v>28</v>
      </c>
      <c r="AM44" s="397" t="s">
        <v>29</v>
      </c>
      <c r="AN44" s="393" t="s">
        <v>118</v>
      </c>
      <c r="AO44" s="397" t="s">
        <v>119</v>
      </c>
      <c r="AP44" s="397" t="s">
        <v>32</v>
      </c>
      <c r="AQ44" s="396" t="s">
        <v>120</v>
      </c>
      <c r="AR44" s="125"/>
      <c r="AS44" s="125"/>
      <c r="BA44" s="113"/>
      <c r="BB44" s="114"/>
      <c r="BC44" s="114"/>
      <c r="BD44" s="114"/>
      <c r="BE44" s="126">
        <f>AVERAGE(BE28:BE31)</f>
        <v>0</v>
      </c>
      <c r="BS44" s="4"/>
      <c r="BT44" s="5"/>
      <c r="BU44" s="5"/>
      <c r="BV44" s="6"/>
    </row>
    <row r="45" spans="1:85">
      <c r="B45" s="127" t="s">
        <v>301</v>
      </c>
      <c r="C45" s="128">
        <f>IF(C6=0,"no data",AVERAGE(C6:C12))</f>
        <v>74.448571428571427</v>
      </c>
      <c r="D45" s="129">
        <f>IF(D6=0,"no data",AVERAGE(D6:D12))</f>
        <v>0.58355714285714289</v>
      </c>
      <c r="E45" s="132">
        <f>IF(E6=0,"no data",AVERAGE(E6:E12))</f>
        <v>60.61</v>
      </c>
      <c r="F45" s="128">
        <f>IF(F6=0,"no data",AVERAGE(F6:F12))</f>
        <v>87.714285714285708</v>
      </c>
      <c r="G45" s="128">
        <f>IF(G6=0,"no data",AVERAGE(G6:G12))</f>
        <v>65</v>
      </c>
      <c r="H45" s="128">
        <f>SUM(H6:H12)+INT(SUM(I6:I12)/60)</f>
        <v>48</v>
      </c>
      <c r="I45" s="128">
        <f>SUM(I6:I12)-INT(SUM(I6:I12)/60)*60</f>
        <v>34</v>
      </c>
      <c r="J45" s="128">
        <f>SUM(J6:J12)+INT(SUM(K6:K12)/60)</f>
        <v>70</v>
      </c>
      <c r="K45" s="128">
        <f>SUM(K6:K12)-INT(SUM(K6:K12)/60)*60</f>
        <v>36</v>
      </c>
      <c r="L45" s="128">
        <f>SUM(L6:L12)+INT(SUM(M6:M12)/60)</f>
        <v>19</v>
      </c>
      <c r="M45" s="128">
        <f>SUM(M6:M12)-INT(SUM(M6:M12)/60)*60</f>
        <v>45</v>
      </c>
      <c r="N45" s="128">
        <f>SUM(N6:N12)+INT(SUM(O6:O12)/60)</f>
        <v>0</v>
      </c>
      <c r="O45" s="128">
        <f>SUM(O6:O12)-INT(SUM(O6:O12)/60)*60</f>
        <v>0</v>
      </c>
      <c r="P45" s="128">
        <f>SUM(P6:P12)+INT(SUM(Q6:Q12)/60)</f>
        <v>46</v>
      </c>
      <c r="Q45" s="128">
        <f>SUM(Q6:Q12)-INT(SUM(Q6:Q12)/60)*60</f>
        <v>51</v>
      </c>
      <c r="R45" s="130">
        <f t="shared" ref="R45:W45" si="37">IF(R6=0,"no data", AVERAGE(R6:R12))</f>
        <v>3648.1428571428573</v>
      </c>
      <c r="S45" s="130">
        <f t="shared" si="37"/>
        <v>1491.5714285714287</v>
      </c>
      <c r="T45" s="130">
        <f t="shared" si="37"/>
        <v>1255.5714285714287</v>
      </c>
      <c r="U45" s="130">
        <f t="shared" si="37"/>
        <v>1234.2857142857142</v>
      </c>
      <c r="V45" s="130">
        <f t="shared" si="37"/>
        <v>1275.4285714285713</v>
      </c>
      <c r="W45" s="131">
        <f t="shared" si="37"/>
        <v>43</v>
      </c>
      <c r="X45" s="132">
        <f>IF(AND(X6=0,X7=0,X8=0,X9=0,X10=0,X11= 0,X12=0),"No outage",SUM(X6:X12))</f>
        <v>5829</v>
      </c>
      <c r="Y45" s="132">
        <f>IF(Y6=0,"no data", AVERAGE(Y6:Y12))</f>
        <v>46</v>
      </c>
      <c r="Z45" s="132">
        <f>IF(AND(Z6=0,Z7=0,Z8=0,Z9=0,Z10=0,Z11= 0,Z12=0),"No outage",SUM(Z6:Z12))</f>
        <v>5795</v>
      </c>
      <c r="AA45" s="132">
        <f>IF(AND(AA6=0,AA7=0,AA8=0,AA9=0,AA10=0, AA11=0,AA12=0),"No outage",SUM(AA6:AA12))</f>
        <v>420</v>
      </c>
      <c r="AB45" s="132" t="str">
        <f>IF(Z6=0,"no data", AVERAGE(AB6:AB12))</f>
        <v>no data</v>
      </c>
      <c r="AC45" s="128" t="str">
        <f>IF(Z6=0,"no data", SUM(AC6:AC12))</f>
        <v>no data</v>
      </c>
      <c r="AD45" s="128">
        <f>IF(AD6=0,"no data", SUM(AD6:AD12))</f>
        <v>-149</v>
      </c>
      <c r="AE45" s="131">
        <f t="shared" ref="AE45:AJ45" si="38">IF(AE6=0,"no data", AVERAGE(AE6:AE12))</f>
        <v>64.285714285714292</v>
      </c>
      <c r="AF45" s="133">
        <f t="shared" si="38"/>
        <v>0.82661427339157456</v>
      </c>
      <c r="AG45" s="132">
        <f t="shared" si="38"/>
        <v>152.00595238095235</v>
      </c>
      <c r="AH45" s="133">
        <f t="shared" si="38"/>
        <v>0.79644803759638327</v>
      </c>
      <c r="AI45" s="133">
        <f t="shared" si="38"/>
        <v>0.42336675721742839</v>
      </c>
      <c r="AJ45" s="133">
        <f t="shared" si="38"/>
        <v>0.91581997265722093</v>
      </c>
      <c r="AK45" s="132">
        <f>IF(AK6=0,"no data", SUM(AK6:AK12))</f>
        <v>22.533999999999999</v>
      </c>
      <c r="AL45" s="132">
        <f>IF(AL6=0,"no data", AVERAGE(AL6:AL12))</f>
        <v>70.502857142857138</v>
      </c>
      <c r="AM45" s="132">
        <f>AK45*AL45</f>
        <v>1588.7113828571428</v>
      </c>
      <c r="AN45" s="132">
        <f>IF(AN6=0,"no data", SUM(AN6:AN12))</f>
        <v>72.869</v>
      </c>
      <c r="AO45" s="132">
        <f>IF(AO6=0,"no data", AVERAGE(AO6:AO12))</f>
        <v>425.08285714285711</v>
      </c>
      <c r="AP45" s="132">
        <f>AN45*AO45</f>
        <v>30975.362717142856</v>
      </c>
      <c r="AQ45" s="134">
        <f>IF(AQ6=0,"no data", AVERAGE(AQ6:AQ12))</f>
        <v>8795.62424130611</v>
      </c>
      <c r="AR45" s="135"/>
      <c r="AS45" s="136"/>
      <c r="BA45" s="113"/>
      <c r="BB45" s="114"/>
      <c r="BC45" s="114"/>
      <c r="BD45" s="114"/>
      <c r="BS45" s="4"/>
      <c r="BT45" s="5"/>
      <c r="BU45" s="5"/>
      <c r="BV45" s="6"/>
    </row>
    <row r="46" spans="1:85">
      <c r="B46" s="127" t="s">
        <v>317</v>
      </c>
      <c r="C46" s="137">
        <f>IF(C13=0,"no data", AVERAGE(C13:C19))</f>
        <v>69.099999999999994</v>
      </c>
      <c r="D46" s="138">
        <f>IF(D13=0,"no data", AVERAGE(D13:D19))</f>
        <v>0.53371428571428581</v>
      </c>
      <c r="E46" s="140">
        <f>IF(E13=0,"no data", AVERAGE(E13:E19))</f>
        <v>54.214285714285715</v>
      </c>
      <c r="F46" s="137">
        <f>IF(F13=0,"no data", AVERAGE(F13:F19))</f>
        <v>83.071428571428569</v>
      </c>
      <c r="G46" s="137">
        <f>IF(G13=0,"no data", AVERAGE(G13:G19))</f>
        <v>59</v>
      </c>
      <c r="H46" s="137">
        <f>SUM(H13:H19)+INT(SUM(I13:I19)/60)</f>
        <v>0</v>
      </c>
      <c r="I46" s="137">
        <f>SUM(I13:I19)-INT(SUM(J13:J19)/60)</f>
        <v>0</v>
      </c>
      <c r="J46" s="137">
        <f>SUM(J13:J19)+INT(SUM(K13:K19)/60)</f>
        <v>0</v>
      </c>
      <c r="K46" s="137">
        <f>SUM(K13:K19)-INT(SUM(L13:L19)/60)*60</f>
        <v>0</v>
      </c>
      <c r="L46" s="137">
        <f>SUM(L13:L19)+INT(SUM(M13:M19)/60)</f>
        <v>0</v>
      </c>
      <c r="M46" s="137">
        <f>SUM(M13:M19)-INT(SUM(N13:N19)/60)*60</f>
        <v>0</v>
      </c>
      <c r="N46" s="137">
        <f>SUM(N13:N19)+INT(SUM(O13:O19)/60)</f>
        <v>0</v>
      </c>
      <c r="O46" s="137">
        <f>SUM(O13:O19)-INT(SUM(P13:P19)/60)*60</f>
        <v>0</v>
      </c>
      <c r="P46" s="137">
        <f>SUM(P13:P19)+INT(SUM(Q13:Q19)/60)</f>
        <v>0</v>
      </c>
      <c r="Q46" s="137">
        <f>SUM(Q7:Q13)-INT(SUM(Q13:Q19)/60)*60</f>
        <v>87</v>
      </c>
      <c r="R46" s="139">
        <f>IF(R13=0,"no data", AVERAGE(R13:R19))</f>
        <v>3720</v>
      </c>
      <c r="S46" s="139" t="str">
        <f>IF(S13=0,"no data", AVERAGE(S13:S19))</f>
        <v>no data</v>
      </c>
      <c r="T46" s="139" t="str">
        <f>IF(T13=0,"no data", AVERAGE(T13:T19))</f>
        <v>no data</v>
      </c>
      <c r="U46" s="139" t="str">
        <f>IF(U13=0,"no data", SUM(U13:U19))</f>
        <v>no data</v>
      </c>
      <c r="V46" s="139" t="str">
        <f>IF(V13=0,"no data", SUM(V13:V19))</f>
        <v>no data</v>
      </c>
      <c r="W46" s="139">
        <f>IF(W13=0,"no data", AVERAGE(W13:W19))</f>
        <v>43</v>
      </c>
      <c r="X46" s="140">
        <f>IF(AND(X13=0,X14=0,X15=0,X16=0,X17=0,X18=0,X19=0),"No outage",SUM(X13:X19))</f>
        <v>10080</v>
      </c>
      <c r="Y46" s="140">
        <f>IF(AND(Y13=0,Y14=0,Y15=0,Y16=0,Y17=0,Y18=0,Y19=0),"No outage",SUM(Y13:Y19))</f>
        <v>322</v>
      </c>
      <c r="Z46" s="139">
        <f>IF(Z13=0,"no data", AVERAGE(Z13:Z19))</f>
        <v>1440</v>
      </c>
      <c r="AA46" s="140">
        <f>IF(AND(AA13=0,AA14=0,AA15=0,AA16=0,AA17=0,AA18=0,AA19=0),"No outage",SUM(AA13:AA19))</f>
        <v>420</v>
      </c>
      <c r="AB46" s="139">
        <f>IF(AB13=0,"no data", AVERAGE(AB13:AB19))</f>
        <v>1440</v>
      </c>
      <c r="AC46" s="139">
        <f>IF(AC13=0,"no data", SUM(AC13:AC19))</f>
        <v>36</v>
      </c>
      <c r="AD46" s="139" t="str">
        <f>IF(AD13=0,"no data", SUM(AD13:AD19))</f>
        <v>no data</v>
      </c>
      <c r="AE46" s="139" t="str">
        <f t="shared" ref="AE46:AJ46" si="39">IF(AE13=0,"no data", AVERAGE(AE13:AE19))</f>
        <v>no data</v>
      </c>
      <c r="AF46" s="141" t="e">
        <f t="shared" si="39"/>
        <v>#DIV/0!</v>
      </c>
      <c r="AG46" s="139">
        <f t="shared" si="39"/>
        <v>155</v>
      </c>
      <c r="AH46" s="141" t="e">
        <f t="shared" si="39"/>
        <v>#DIV/0!</v>
      </c>
      <c r="AI46" s="141" t="str">
        <f t="shared" si="39"/>
        <v>no data</v>
      </c>
      <c r="AJ46" s="141" t="e">
        <f t="shared" si="39"/>
        <v>#DIV/0!</v>
      </c>
      <c r="AK46" s="142" t="str">
        <f>IF(AK13=0,"no data",SUM(AK13:AK19))</f>
        <v>no data</v>
      </c>
      <c r="AL46" s="143" t="str">
        <f>IF(AL13=0,"no data", AVERAGE(AL13:AL19))</f>
        <v>no data</v>
      </c>
      <c r="AM46" s="140" t="e">
        <f>AK46*AL46</f>
        <v>#VALUE!</v>
      </c>
      <c r="AN46" s="140" t="str">
        <f>IF(AN13=0,"no data", SUM(AN13:AN19))</f>
        <v>no data</v>
      </c>
      <c r="AO46" s="142" t="str">
        <f>IF(AO13=0,"no data",AVERAGE(AO13:AO19))</f>
        <v>no data</v>
      </c>
      <c r="AP46" s="140" t="e">
        <f>AN46*AO46</f>
        <v>#VALUE!</v>
      </c>
      <c r="AQ46" s="144" t="e">
        <f>IF(AQ13=0,"no data", AVERAGE(AQ13:AQ19))</f>
        <v>#DIV/0!</v>
      </c>
      <c r="AR46" s="135"/>
      <c r="AS46" s="136"/>
      <c r="AX46">
        <f>3413/12465</f>
        <v>0.27380665864420378</v>
      </c>
      <c r="BA46" s="113"/>
      <c r="BC46" s="114"/>
      <c r="BS46" s="4"/>
      <c r="BT46" s="5"/>
      <c r="BU46" s="5"/>
      <c r="BV46" s="6"/>
    </row>
    <row r="47" spans="1:85">
      <c r="A47" s="145"/>
      <c r="B47" s="127" t="s">
        <v>318</v>
      </c>
      <c r="C47" s="140">
        <f>IF(C20=0,"no data", AVERAGE(C20:C26))</f>
        <v>68.067142857142855</v>
      </c>
      <c r="D47" s="138">
        <f>IF(D20=0,"no data", AVERAGE(D20:D26))</f>
        <v>0.64171428571428568</v>
      </c>
      <c r="E47" s="140">
        <f>IF(E20=0,"no data", AVERAGE(E20:E26))</f>
        <v>57.267142857142858</v>
      </c>
      <c r="F47" s="140">
        <f>IF(F20=0,"no data", AVERAGE(F20:F26))</f>
        <v>80.285714285714292</v>
      </c>
      <c r="G47" s="140">
        <f>IF(G20=0,"no data", AVERAGE(G20:G26))</f>
        <v>57</v>
      </c>
      <c r="H47" s="137">
        <f>SUM(H20:H26)+INT(SUM(I20:I26)/60)</f>
        <v>0</v>
      </c>
      <c r="I47" s="137">
        <f>SUM(I20:I26)-INT(SUM(I26:I26)/60)*60</f>
        <v>0</v>
      </c>
      <c r="J47" s="137">
        <f>SUM(J20:J26)+INT(SUM(K20:K26)/60)</f>
        <v>0</v>
      </c>
      <c r="K47" s="137">
        <f>SUM(K20:K26)-INT(SUM(K20:K26)/60)*60</f>
        <v>0</v>
      </c>
      <c r="L47" s="137">
        <f>SUM(L20:L26)+INT(SUM(M20:M26)/60)</f>
        <v>0</v>
      </c>
      <c r="M47" s="137">
        <f>SUM(M20:M26)-INT(SUM(M20:M26)/60)*60</f>
        <v>0</v>
      </c>
      <c r="N47" s="137">
        <f>SUM(N20:N26)+INT(SUM(O20:O26)/60)</f>
        <v>0</v>
      </c>
      <c r="O47" s="137">
        <f>SUM(O20:O26)-INT(SUM(O20:O26)/60)*60</f>
        <v>0</v>
      </c>
      <c r="P47" s="137">
        <f>SUM(P20:P26)+INT(SUM(Q20:Q26)/60)</f>
        <v>0</v>
      </c>
      <c r="Q47" s="137">
        <f>SUM(Q20:Q26)-INT(SUM(Q20:Q26)/60)*60</f>
        <v>0</v>
      </c>
      <c r="R47" s="139">
        <f>IF(R20=0,"no data", AVERAGE(R20:R26))</f>
        <v>3709</v>
      </c>
      <c r="S47" s="139" t="str">
        <f>IF(S20=0,"no data", AVERAGE(S20:S26))</f>
        <v>no data</v>
      </c>
      <c r="T47" s="139" t="str">
        <f>IF(T20=0,"no data", AVERAGE(T20:T26))</f>
        <v>no data</v>
      </c>
      <c r="U47" s="146" t="str">
        <f>IF(U20=0,"no data", SUM(U20:U26))</f>
        <v>no data</v>
      </c>
      <c r="V47" s="146" t="str">
        <f>IF(V20=0,"no data", SUM(V20:V26))</f>
        <v>no data</v>
      </c>
      <c r="W47" s="146">
        <f>IF(W20=0,"no data", AVERAGE(W20:W26))</f>
        <v>43</v>
      </c>
      <c r="X47" s="140">
        <f>IF(AND(X20=0,X21=0,X22=0,X23=0,X24=0,X25=0,X26=0),"No outage",SUM(X20:X26))</f>
        <v>10080</v>
      </c>
      <c r="Y47" s="140">
        <f>IF(AND(Y20=0,Y21=0,Y22=0,Y23=0,Y24=0,Y25=0,Y26=0),"No outage",SUM(Y20:Y26))</f>
        <v>322</v>
      </c>
      <c r="Z47" s="146">
        <f>IF(Z20=0,"no data", AVERAGE(Z20:Z26))</f>
        <v>1440</v>
      </c>
      <c r="AA47" s="140">
        <f>IF(AND(AA20=0,AA21=0,AA22=0,AA23=0,AA24=0,AA25=0,AA26=0),"No outage",SUM(AA20:AA26))</f>
        <v>420</v>
      </c>
      <c r="AB47" s="140">
        <f>IF(AB20=0,"no data", AVERAGE(AB20:AB26))</f>
        <v>1440</v>
      </c>
      <c r="AC47" s="140">
        <f>IF(AC20=0,"no data", SUM(AC20:AC26))</f>
        <v>49</v>
      </c>
      <c r="AD47" s="146" t="str">
        <f>IF(AD20=0,"no data", SUM(AD20:AD26))</f>
        <v>no data</v>
      </c>
      <c r="AE47" s="140" t="str">
        <f t="shared" ref="AE47:AJ47" si="40">IF(AE20=0,"no data", AVERAGE(AE20:AE26))</f>
        <v>no data</v>
      </c>
      <c r="AF47" s="141" t="e">
        <f t="shared" si="40"/>
        <v>#DIV/0!</v>
      </c>
      <c r="AG47" s="140">
        <f t="shared" si="40"/>
        <v>154.54166666666669</v>
      </c>
      <c r="AH47" s="141" t="e">
        <f t="shared" si="40"/>
        <v>#DIV/0!</v>
      </c>
      <c r="AI47" s="141" t="str">
        <f t="shared" si="40"/>
        <v>no data</v>
      </c>
      <c r="AJ47" s="141" t="e">
        <f t="shared" si="40"/>
        <v>#DIV/0!</v>
      </c>
      <c r="AK47" s="140" t="str">
        <f>IF(AK20=0,"no data", SUM(AK20:AK26))</f>
        <v>no data</v>
      </c>
      <c r="AL47" s="140" t="str">
        <f>IF(AL20=0,"no data", AVERAGE(AL20:AL26))</f>
        <v>no data</v>
      </c>
      <c r="AM47" s="140" t="e">
        <f>AK47*AL47</f>
        <v>#VALUE!</v>
      </c>
      <c r="AN47" s="140" t="str">
        <f>IF(AN20=0,"no data", SUM(AN20:AN25))</f>
        <v>no data</v>
      </c>
      <c r="AO47" s="140" t="str">
        <f>IF(AO20=0,"no data", AVERAGE(AO20:AO25))</f>
        <v>no data</v>
      </c>
      <c r="AP47" s="140" t="e">
        <f>AN47*AO47</f>
        <v>#VALUE!</v>
      </c>
      <c r="AQ47" s="144" t="e">
        <f>IF(AQ20=0,"no data", AVERAGE(AQ20:AQ26))</f>
        <v>#DIV/0!</v>
      </c>
      <c r="AR47" s="135"/>
      <c r="AS47" s="136"/>
      <c r="AT47" s="145"/>
      <c r="AU47" s="145"/>
      <c r="AV47" s="145"/>
      <c r="AW47" s="145"/>
      <c r="AX47" s="145">
        <f>3413/12796</f>
        <v>0.26672397624257582</v>
      </c>
      <c r="AY47" s="145"/>
      <c r="AZ47" s="145"/>
      <c r="BA47" s="113"/>
      <c r="BB47" s="145"/>
      <c r="BC47" s="114"/>
      <c r="BD47" s="145"/>
      <c r="BE47" s="145"/>
      <c r="BF47" s="145"/>
      <c r="BG47" s="145"/>
      <c r="BS47" s="4"/>
      <c r="BT47" s="5"/>
      <c r="BU47" s="5"/>
      <c r="BV47" s="6"/>
    </row>
    <row r="48" spans="1:85">
      <c r="B48" s="127" t="s">
        <v>319</v>
      </c>
      <c r="C48" s="140">
        <f>IF(C21=0,"no data", AVERAGE(C27:C33))</f>
        <v>68.004285714285714</v>
      </c>
      <c r="D48" s="138">
        <f>IF(D21=0,"no data", AVERAGE(D27:D33))</f>
        <v>0.59794285714285711</v>
      </c>
      <c r="E48" s="140">
        <f>IF(E21=0,"no data", AVERAGE(E27:E33))</f>
        <v>55.794285714285714</v>
      </c>
      <c r="F48" s="140">
        <f>IF(F21=0,"no data", AVERAGE(F27:F33))</f>
        <v>84.535714285714292</v>
      </c>
      <c r="G48" s="140">
        <f>IF(G21=0,"no data", AVERAGE(G27:G33))</f>
        <v>58.167142857142856</v>
      </c>
      <c r="H48" s="137">
        <f>SUM(H27:H33)+INT(SUM(I27:I33)/60)</f>
        <v>0</v>
      </c>
      <c r="I48" s="137">
        <f>SUM(I27:I33)-INT(SUM(I27:I33)/60)*60</f>
        <v>0</v>
      </c>
      <c r="J48" s="137">
        <f>SUM(J27:J33)+INT(SUM(K27:K33)/60)</f>
        <v>0</v>
      </c>
      <c r="K48" s="137">
        <f>SUM(K27:K33)-INT(SUM(K27:K33)/60)*60</f>
        <v>0</v>
      </c>
      <c r="L48" s="137">
        <f>SUM(L27:L33)+INT(SUM(M27:M33)/60)</f>
        <v>0</v>
      </c>
      <c r="M48" s="137">
        <f>SUM(M27:M33)-INT(SUM(M27:M33)/60)*60</f>
        <v>0</v>
      </c>
      <c r="N48" s="137">
        <f>SUM(N27:N33)+INT(SUM(O27:O33)/60)</f>
        <v>0</v>
      </c>
      <c r="O48" s="137">
        <f>SUM(O27:O33)-INT(SUM(O27:O33)/60)*60</f>
        <v>0</v>
      </c>
      <c r="P48" s="137">
        <f>SUM(P27:P33)+INT(SUM(Q27:Q33)/60)</f>
        <v>0</v>
      </c>
      <c r="Q48" s="137">
        <f>SUM(Q27:Q33)-INT(SUM(Q27:Q33)/60)*60</f>
        <v>0</v>
      </c>
      <c r="R48" s="139">
        <f>IF(R27=0,"no data", AVERAGE(R27:R33))</f>
        <v>3682.7142857142858</v>
      </c>
      <c r="S48" s="139" t="str">
        <f>IF(S27=0,"no data", AVERAGE(S27:S33))</f>
        <v>no data</v>
      </c>
      <c r="T48" s="139" t="str">
        <f>IF(T27=0,"no data", AVERAGE(T27:T33))</f>
        <v>no data</v>
      </c>
      <c r="U48" s="139" t="str">
        <f>IF(U27=0,"no data", SUM(U27:U33))</f>
        <v>no data</v>
      </c>
      <c r="V48" s="139" t="str">
        <f>IF(V27=0,"no data", SUM(V27:V33))</f>
        <v>no data</v>
      </c>
      <c r="W48" s="146">
        <f>IF(W27=0,"no data", AVERAGE(W27:W33))</f>
        <v>43</v>
      </c>
      <c r="X48" s="140">
        <f>IF(AND(X27=0,X28=0,X29=0,X30=0,X31=0,X32=0,X33=0),"No outage",SUM(X27:X33))</f>
        <v>10080</v>
      </c>
      <c r="Y48" s="140">
        <f>IF(AND(Y27=0,Y28=0,Y29=0,Y30=0,Y31=0,Y32=0,Y33=0),"No outage",SUM(Y27:Y33))</f>
        <v>322</v>
      </c>
      <c r="Z48" s="146">
        <f>IF(Z27=0,"no data", AVERAGE(Z27:Z33))</f>
        <v>1440</v>
      </c>
      <c r="AA48" s="140">
        <f>IF(AND(AA27=0,AA28=0,AA29=0,AA30=0,AA31=0,AA32=0,AA33=0),"No outage",SUM(AA27:AA33))</f>
        <v>420</v>
      </c>
      <c r="AB48" s="140">
        <f>IF(AB27=0,"no data", AVERAGE(AB27:AB33))</f>
        <v>1440</v>
      </c>
      <c r="AC48" s="139">
        <f>IF(AC27=0,"no data", SUM(AC27:AC33))</f>
        <v>45</v>
      </c>
      <c r="AD48" s="139" t="str">
        <f>IF(AD27=0,"no data", SUM(AD27:AD33))</f>
        <v>no data</v>
      </c>
      <c r="AE48" s="146" t="str">
        <f t="shared" ref="AE48:AJ48" si="41">IF(AE27=0,"no data", AVERAGE(AE27:AE33))</f>
        <v>no data</v>
      </c>
      <c r="AF48" s="138" t="e">
        <f t="shared" si="41"/>
        <v>#DIV/0!</v>
      </c>
      <c r="AG48" s="140">
        <f t="shared" si="41"/>
        <v>153.44642857142858</v>
      </c>
      <c r="AH48" s="138" t="e">
        <f t="shared" si="41"/>
        <v>#DIV/0!</v>
      </c>
      <c r="AI48" s="138" t="str">
        <f t="shared" si="41"/>
        <v>no data</v>
      </c>
      <c r="AJ48" s="138">
        <f t="shared" si="41"/>
        <v>0</v>
      </c>
      <c r="AK48" s="139" t="str">
        <f>IF(AK27=0,"no data", SUM(AK27:AK33))</f>
        <v>no data</v>
      </c>
      <c r="AL48" s="140" t="str">
        <f>IF(AL27=0,"no data", AVERAGE(AL27:AL33))</f>
        <v>no data</v>
      </c>
      <c r="AM48" s="140" t="e">
        <f>AK48*AL48</f>
        <v>#VALUE!</v>
      </c>
      <c r="AN48" s="140" t="str">
        <f>IF(AN27=0,"no data", SUM(AN27:AN33))</f>
        <v>no data</v>
      </c>
      <c r="AO48" s="140" t="str">
        <f>IF(AO27=0,"no data", AVERAGE(AO27:AO33))</f>
        <v>no data</v>
      </c>
      <c r="AP48" s="140" t="e">
        <f>AN48*AO48</f>
        <v>#VALUE!</v>
      </c>
      <c r="AQ48" s="144" t="e">
        <f>IF(AQ27=0,"no data", AVERAGE(AQ27:AQ33))</f>
        <v>#DIV/0!</v>
      </c>
      <c r="AR48" s="135"/>
      <c r="AS48" s="136"/>
      <c r="BA48" s="113"/>
      <c r="BC48" s="114"/>
      <c r="BS48" s="4"/>
      <c r="BT48" s="5"/>
      <c r="BU48" s="5"/>
      <c r="BV48" s="6"/>
    </row>
    <row r="49" spans="2:74">
      <c r="B49" s="127" t="s">
        <v>320</v>
      </c>
      <c r="C49" s="140">
        <f>IF(C34=0,"no data", AVERAGE(C34:C40))</f>
        <v>67.5</v>
      </c>
      <c r="D49" s="140">
        <f>IF(D34=0,"no data", AVERAGE(D34:D40))</f>
        <v>0.66759999999999997</v>
      </c>
      <c r="E49" s="140">
        <f>IF(E34=0,"no data", AVERAGE(E34:E40))</f>
        <v>57.36</v>
      </c>
      <c r="F49" s="140">
        <f>IF(F34=0,"no data", AVERAGE(F34:F40))</f>
        <v>82.6</v>
      </c>
      <c r="G49" s="140">
        <f>IF(G34=0,"no data", AVERAGE(G34:G40))</f>
        <v>54.6</v>
      </c>
      <c r="H49" s="137">
        <f>SUM(H34:H40)+INT(SUM(I34:I40)/60)</f>
        <v>0</v>
      </c>
      <c r="I49" s="137">
        <f>SUM(I34:I40)-INT(SUM(I34:I40)/60)*60</f>
        <v>0</v>
      </c>
      <c r="J49" s="137">
        <f>SUM(J34:J40)+INT(SUM(K34:K40)/60)</f>
        <v>0</v>
      </c>
      <c r="K49" s="137">
        <f>SUM(K34:K40)-INT(SUM(K34:K40)/60)*60</f>
        <v>0</v>
      </c>
      <c r="L49" s="137">
        <f>SUM(L34:L40)+INT(SUM(M34:M40)/60)</f>
        <v>0</v>
      </c>
      <c r="M49" s="137">
        <f>SUM(M34:M40)-INT(SUM(M34:M40)/60)*60</f>
        <v>0</v>
      </c>
      <c r="N49" s="137">
        <f>SUM(N34:N40)+INT(SUM(O34:O40)/60)</f>
        <v>0</v>
      </c>
      <c r="O49" s="137">
        <f>SUM(O34:O40)-INT(SUM(O34:O40)/60)*60</f>
        <v>0</v>
      </c>
      <c r="P49" s="137">
        <f>SUM(P34:P40)+INT(SUM(Q34:Q40)/60)</f>
        <v>0</v>
      </c>
      <c r="Q49" s="137">
        <f>SUM(Q34:Q40)-INT(SUM(Q34:Q40)/60)*60</f>
        <v>0</v>
      </c>
      <c r="R49" s="139">
        <f>IF(R28=0,"no data", AVERAGE(R34:R40))</f>
        <v>3685.8</v>
      </c>
      <c r="S49" s="139" t="str">
        <f>IF(S34=0,"no data", AVERAGE(S34:S40))</f>
        <v>no data</v>
      </c>
      <c r="T49" s="139" t="str">
        <f>IF(T34=0,"no data", AVERAGE(T34:T40))</f>
        <v>no data</v>
      </c>
      <c r="U49" s="139" t="str">
        <f>IF(U34=0,"no data", SUM(U34:U40))</f>
        <v>no data</v>
      </c>
      <c r="V49" s="139" t="str">
        <f>IF(V34=0,"no data", SUM(V34:V40))</f>
        <v>no data</v>
      </c>
      <c r="W49" s="146">
        <f>IF(W34=0,"no data", AVERAGE(W34:W40))</f>
        <v>43</v>
      </c>
      <c r="X49" s="140" t="e">
        <f>IF(AND(X34=0,X35=0,X36=0,X37=0,X38=0,X39=0,#REF!=0),"No outage",SUM(X34:X40))</f>
        <v>#REF!</v>
      </c>
      <c r="Y49" s="140" t="e">
        <f>IF(AND(Y34=0,Y35=0,Y36=0,Y37=0,Y38=0,Y39=0,#REF!=0),"No outage",SUM(Y34:Y40))</f>
        <v>#REF!</v>
      </c>
      <c r="Z49" s="146">
        <f>IF(Z34=0,"no data", AVERAGE(Z34:Z40))</f>
        <v>1440</v>
      </c>
      <c r="AA49" s="140" t="e">
        <f>IF(AND(AA34=0,AA35=0,AA36=0,AA37=0,AA38=0,AA39=0,#REF!=0),"No outage",SUM(AA34:AA40))</f>
        <v>#REF!</v>
      </c>
      <c r="AB49" s="140">
        <f>IF(AB34=0,"no data", AVERAGE(AB34:AB40))</f>
        <v>1440</v>
      </c>
      <c r="AC49" s="139">
        <f>IF(AC34=0,"no data", SUM(AC34:AC40))</f>
        <v>24</v>
      </c>
      <c r="AD49" s="139" t="str">
        <f>IF(AD34=0,"no data", SUM(AD34:AD40))</f>
        <v>no data</v>
      </c>
      <c r="AE49" s="146" t="str">
        <f>IF(AE34=0,"no data", AVERAGE(AE34:AE40))</f>
        <v>no data</v>
      </c>
      <c r="AF49" s="138" t="e">
        <f>IF(AF34=0,"no data", AVERAGE(AF34:AF40))</f>
        <v>#DIV/0!</v>
      </c>
      <c r="AG49" s="140">
        <f>IF(AG34=0,"no data", AVERAGE(AG34:AG40))</f>
        <v>153.57499999999999</v>
      </c>
      <c r="AH49" s="138" t="e">
        <f>IF(AH34=0,"no data", AVERAGE(AH34:AH40))</f>
        <v>#DIV/0!</v>
      </c>
      <c r="AI49" s="138" t="str">
        <f>IF(AI28=0,"no data", AVERAGE(AI34:AI40))</f>
        <v>no data</v>
      </c>
      <c r="AJ49" s="138" t="e">
        <f>IF(AJ34=0,"no data", AVERAGE(AJ34:AJ40))</f>
        <v>#DIV/0!</v>
      </c>
      <c r="AK49" s="139" t="str">
        <f>IF(AK34=0,"no data", SUM(AK34:AK40))</f>
        <v>no data</v>
      </c>
      <c r="AL49" s="140" t="str">
        <f>IF(AL34=0,"no data", AVERAGE(AL34:AL40))</f>
        <v>no data</v>
      </c>
      <c r="AM49" s="140" t="e">
        <f>AK49*AL49</f>
        <v>#VALUE!</v>
      </c>
      <c r="AN49" s="140" t="str">
        <f>IF(AN34=0,"no data", SUM(AN34:AN40))</f>
        <v>no data</v>
      </c>
      <c r="AO49" s="140" t="str">
        <f>IF(AO34=0,"no data", AVERAGE(AO34:AO40))</f>
        <v>no data</v>
      </c>
      <c r="AP49" s="140" t="e">
        <f>AN49*AO49</f>
        <v>#VALUE!</v>
      </c>
      <c r="AQ49" s="140" t="e">
        <f>IF(AQ34=0,"no data", AVERAGE(AQ34:AQ40))</f>
        <v>#DIV/0!</v>
      </c>
      <c r="AR49" s="135"/>
      <c r="AS49" s="136"/>
      <c r="BA49" s="113"/>
      <c r="BC49" s="114"/>
      <c r="BS49" s="4"/>
      <c r="BT49" s="5"/>
      <c r="BU49" s="5"/>
      <c r="BV49" s="6"/>
    </row>
    <row r="50" spans="2:74">
      <c r="B50" s="147"/>
      <c r="C50" s="148"/>
      <c r="D50" s="148"/>
      <c r="E50" s="148"/>
      <c r="F50" s="148"/>
      <c r="G50" s="149"/>
      <c r="H50" s="149"/>
      <c r="I50" s="149"/>
      <c r="J50" s="149"/>
      <c r="K50" s="150"/>
      <c r="L50" s="150"/>
      <c r="M50" s="150"/>
      <c r="N50" s="150"/>
      <c r="O50" s="151"/>
      <c r="P50" s="151"/>
      <c r="Q50" s="148"/>
      <c r="R50" s="148"/>
      <c r="S50" s="148"/>
      <c r="T50" s="148"/>
      <c r="U50" s="148"/>
      <c r="V50" s="148"/>
      <c r="W50" s="148"/>
      <c r="X50" s="148"/>
      <c r="Y50" s="148"/>
      <c r="Z50" s="148"/>
      <c r="AA50" s="148"/>
      <c r="AB50" s="148"/>
      <c r="AC50" s="151"/>
      <c r="AD50" s="151"/>
      <c r="AE50" s="148"/>
      <c r="AF50" s="151"/>
      <c r="AG50" s="151"/>
      <c r="AH50" s="148"/>
      <c r="AI50" s="148"/>
      <c r="AJ50" s="148"/>
      <c r="AK50" s="148"/>
      <c r="AL50" s="148"/>
      <c r="AM50" s="148"/>
      <c r="AQ50" s="126"/>
      <c r="AR50" s="126"/>
      <c r="AS50" s="126"/>
      <c r="AT50" s="126"/>
      <c r="BA50" s="113"/>
      <c r="BC50" s="114"/>
      <c r="BS50" s="4"/>
      <c r="BT50" s="5"/>
      <c r="BU50" s="5"/>
      <c r="BV50" s="6"/>
    </row>
    <row r="51" spans="2:74" ht="15.75" thickBot="1">
      <c r="B51" s="147"/>
      <c r="C51" s="148"/>
      <c r="D51" s="148"/>
      <c r="E51" s="148"/>
      <c r="F51" s="148"/>
      <c r="G51" s="149"/>
      <c r="H51" s="149"/>
      <c r="I51" s="149"/>
      <c r="J51" s="149"/>
      <c r="K51" s="150"/>
      <c r="L51" s="150"/>
      <c r="M51" s="150"/>
      <c r="N51" s="150"/>
      <c r="O51" s="151"/>
      <c r="P51" s="151"/>
      <c r="Q51" s="148"/>
      <c r="R51" s="148"/>
      <c r="S51" s="148"/>
      <c r="T51" s="148"/>
      <c r="U51" s="148"/>
      <c r="V51" s="148"/>
      <c r="W51" s="148"/>
      <c r="X51" s="148"/>
      <c r="Y51" s="148"/>
      <c r="Z51" s="148"/>
      <c r="AA51" s="148"/>
      <c r="AB51" s="148"/>
      <c r="AC51" s="151"/>
      <c r="AD51" s="151"/>
      <c r="AE51" s="148"/>
      <c r="AF51" s="151"/>
      <c r="AG51" s="151"/>
      <c r="AH51" s="148"/>
      <c r="AI51" s="148"/>
      <c r="AJ51" s="148"/>
      <c r="AK51" s="148"/>
      <c r="AL51" s="148"/>
      <c r="AM51" s="148"/>
      <c r="AQ51" s="126"/>
      <c r="AR51" s="126"/>
      <c r="AS51" s="126"/>
      <c r="AT51" s="126"/>
      <c r="BA51" s="113"/>
      <c r="BC51" s="114"/>
      <c r="BS51" s="4"/>
      <c r="BT51" s="5"/>
      <c r="BU51" s="5"/>
      <c r="BV51" s="6"/>
    </row>
    <row r="52" spans="2:74" ht="16.5" thickTop="1">
      <c r="B52" s="152" t="s">
        <v>121</v>
      </c>
      <c r="C52" s="430" t="s">
        <v>122</v>
      </c>
      <c r="D52" s="431"/>
      <c r="E52" s="431"/>
      <c r="F52" s="431"/>
      <c r="G52" s="431"/>
      <c r="H52" s="431"/>
      <c r="I52" s="431"/>
      <c r="J52" s="431"/>
      <c r="K52" s="431"/>
      <c r="L52" s="431"/>
      <c r="M52" s="431"/>
      <c r="N52" s="431"/>
      <c r="O52" s="431"/>
      <c r="P52" s="431"/>
      <c r="Q52" s="431"/>
      <c r="R52" s="431"/>
      <c r="S52" s="431"/>
      <c r="T52" s="431"/>
      <c r="U52" s="431"/>
      <c r="V52" s="431"/>
      <c r="W52" s="431"/>
      <c r="X52" s="431"/>
      <c r="Y52" s="431"/>
      <c r="Z52" s="431"/>
      <c r="AA52" s="431"/>
      <c r="AB52" s="431"/>
      <c r="AC52" s="431"/>
      <c r="AD52" s="431"/>
      <c r="AE52" s="432"/>
      <c r="AF52" s="151"/>
      <c r="AG52" s="151"/>
      <c r="AH52" s="148"/>
      <c r="AI52" s="148"/>
      <c r="AJ52" s="148"/>
      <c r="AK52" s="148"/>
      <c r="AL52" s="148"/>
      <c r="AM52" s="148"/>
      <c r="AQ52" s="126"/>
      <c r="AR52" s="126"/>
      <c r="AS52" s="126"/>
      <c r="AT52" s="126"/>
      <c r="BA52" s="113"/>
      <c r="BS52" s="4"/>
      <c r="BT52" s="5"/>
      <c r="BU52" s="5"/>
      <c r="BV52" s="6"/>
    </row>
    <row r="53" spans="2:74" ht="15.75">
      <c r="B53" s="153">
        <v>43405</v>
      </c>
      <c r="C53" s="416" t="s">
        <v>321</v>
      </c>
      <c r="D53" s="417"/>
      <c r="E53" s="417"/>
      <c r="F53" s="417"/>
      <c r="G53" s="417"/>
      <c r="H53" s="417"/>
      <c r="I53" s="417"/>
      <c r="J53" s="417"/>
      <c r="K53" s="417"/>
      <c r="L53" s="417"/>
      <c r="M53" s="417"/>
      <c r="N53" s="417"/>
      <c r="O53" s="417"/>
      <c r="P53" s="417"/>
      <c r="Q53" s="417"/>
      <c r="R53" s="417"/>
      <c r="S53" s="417"/>
      <c r="T53" s="417"/>
      <c r="U53" s="417"/>
      <c r="V53" s="417"/>
      <c r="W53" s="417"/>
      <c r="X53" s="417"/>
      <c r="Y53" s="417"/>
      <c r="Z53" s="417"/>
      <c r="AA53" s="417"/>
      <c r="AB53" s="417"/>
      <c r="AC53" s="417"/>
      <c r="AD53" s="417"/>
      <c r="AE53" s="418"/>
      <c r="AF53" s="151"/>
      <c r="AG53" s="151"/>
      <c r="AH53" s="148"/>
      <c r="AI53" s="148"/>
      <c r="AJ53" s="148"/>
      <c r="AK53" s="148"/>
      <c r="AL53" s="148"/>
      <c r="AM53" s="148"/>
      <c r="AQ53" s="126"/>
      <c r="AR53" s="126"/>
      <c r="AS53" s="126"/>
      <c r="AT53" s="126"/>
      <c r="BA53" s="113"/>
      <c r="BS53" s="4"/>
      <c r="BT53" s="5"/>
      <c r="BU53" s="5"/>
      <c r="BV53" s="6"/>
    </row>
    <row r="54" spans="2:74" ht="15.75">
      <c r="B54" s="153">
        <v>43406</v>
      </c>
      <c r="C54" s="416" t="s">
        <v>322</v>
      </c>
      <c r="D54" s="417"/>
      <c r="E54" s="417"/>
      <c r="F54" s="417"/>
      <c r="G54" s="417"/>
      <c r="H54" s="417"/>
      <c r="I54" s="417"/>
      <c r="J54" s="417"/>
      <c r="K54" s="417"/>
      <c r="L54" s="417"/>
      <c r="M54" s="417"/>
      <c r="N54" s="417"/>
      <c r="O54" s="417"/>
      <c r="P54" s="417"/>
      <c r="Q54" s="417"/>
      <c r="R54" s="417"/>
      <c r="S54" s="417"/>
      <c r="T54" s="417"/>
      <c r="U54" s="417"/>
      <c r="V54" s="417"/>
      <c r="W54" s="417"/>
      <c r="X54" s="417"/>
      <c r="Y54" s="417"/>
      <c r="Z54" s="417"/>
      <c r="AA54" s="417"/>
      <c r="AB54" s="417"/>
      <c r="AC54" s="417"/>
      <c r="AD54" s="417"/>
      <c r="AE54" s="418"/>
      <c r="AF54" s="151"/>
      <c r="AG54" s="151"/>
      <c r="AH54" s="148"/>
      <c r="AI54" s="148"/>
      <c r="AJ54" s="148"/>
      <c r="AK54" s="148"/>
      <c r="AL54" s="148"/>
      <c r="AM54" s="148"/>
      <c r="AQ54" s="126"/>
      <c r="AR54" s="126"/>
      <c r="AS54" s="126"/>
      <c r="AT54" s="126"/>
      <c r="BA54" s="113"/>
      <c r="BS54" s="4"/>
      <c r="BT54" s="5"/>
      <c r="BU54" s="5"/>
      <c r="BV54" s="6"/>
    </row>
    <row r="55" spans="2:74" ht="15.75">
      <c r="B55" s="153">
        <v>43407</v>
      </c>
      <c r="C55" s="416" t="s">
        <v>322</v>
      </c>
      <c r="D55" s="417"/>
      <c r="E55" s="417"/>
      <c r="F55" s="417"/>
      <c r="G55" s="417"/>
      <c r="H55" s="417"/>
      <c r="I55" s="417"/>
      <c r="J55" s="417"/>
      <c r="K55" s="417"/>
      <c r="L55" s="417"/>
      <c r="M55" s="417"/>
      <c r="N55" s="417"/>
      <c r="O55" s="417"/>
      <c r="P55" s="417"/>
      <c r="Q55" s="417"/>
      <c r="R55" s="417"/>
      <c r="S55" s="417"/>
      <c r="T55" s="417"/>
      <c r="U55" s="417"/>
      <c r="V55" s="417"/>
      <c r="W55" s="417"/>
      <c r="X55" s="417"/>
      <c r="Y55" s="417"/>
      <c r="Z55" s="417"/>
      <c r="AA55" s="417"/>
      <c r="AB55" s="417"/>
      <c r="AC55" s="417"/>
      <c r="AD55" s="417"/>
      <c r="AE55" s="418"/>
      <c r="AF55" s="151"/>
      <c r="AG55" s="151"/>
      <c r="AH55" s="148"/>
      <c r="AI55" s="148"/>
      <c r="AJ55" s="148"/>
      <c r="AK55" s="148"/>
      <c r="AL55" s="148"/>
      <c r="AM55" s="148"/>
      <c r="AQ55" s="126"/>
      <c r="AR55" s="126"/>
      <c r="AS55" s="126"/>
      <c r="AT55" s="126"/>
      <c r="AU55">
        <v>17</v>
      </c>
      <c r="AV55">
        <v>16</v>
      </c>
      <c r="AW55">
        <v>20</v>
      </c>
      <c r="AX55">
        <f>AW55+AV55+AU55</f>
        <v>53</v>
      </c>
      <c r="BA55" s="113"/>
      <c r="BS55" s="4"/>
      <c r="BT55" s="5"/>
      <c r="BU55" s="5"/>
      <c r="BV55" s="6"/>
    </row>
    <row r="56" spans="2:74" ht="15.75">
      <c r="B56" s="153">
        <v>43408</v>
      </c>
      <c r="C56" s="416" t="s">
        <v>322</v>
      </c>
      <c r="D56" s="417"/>
      <c r="E56" s="417"/>
      <c r="F56" s="417"/>
      <c r="G56" s="417"/>
      <c r="H56" s="417"/>
      <c r="I56" s="417"/>
      <c r="J56" s="417"/>
      <c r="K56" s="417"/>
      <c r="L56" s="417"/>
      <c r="M56" s="417"/>
      <c r="N56" s="417"/>
      <c r="O56" s="417"/>
      <c r="P56" s="417"/>
      <c r="Q56" s="417"/>
      <c r="R56" s="417"/>
      <c r="S56" s="417"/>
      <c r="T56" s="417"/>
      <c r="U56" s="417"/>
      <c r="V56" s="417"/>
      <c r="W56" s="417"/>
      <c r="X56" s="417"/>
      <c r="Y56" s="417"/>
      <c r="Z56" s="417"/>
      <c r="AA56" s="417"/>
      <c r="AB56" s="417"/>
      <c r="AC56" s="417"/>
      <c r="AD56" s="417"/>
      <c r="AE56" s="418"/>
      <c r="AF56" s="151"/>
      <c r="AG56" s="151"/>
      <c r="AH56" s="148"/>
      <c r="AI56" s="148"/>
      <c r="AJ56" s="148"/>
      <c r="AK56" s="148"/>
      <c r="AL56" s="148"/>
      <c r="AM56" s="148"/>
      <c r="AQ56" s="126"/>
      <c r="AR56" s="126"/>
      <c r="AS56" s="126"/>
      <c r="AT56" s="126"/>
      <c r="AU56">
        <f>26.52+22.83</f>
        <v>49.349999999999994</v>
      </c>
      <c r="BA56" s="113"/>
      <c r="BS56" s="4"/>
      <c r="BT56" s="5"/>
      <c r="BU56" s="5"/>
      <c r="BV56" s="6"/>
    </row>
    <row r="57" spans="2:74" ht="15.75">
      <c r="B57" s="153">
        <v>43409</v>
      </c>
      <c r="C57" s="416" t="s">
        <v>322</v>
      </c>
      <c r="D57" s="417"/>
      <c r="E57" s="417"/>
      <c r="F57" s="417"/>
      <c r="G57" s="417"/>
      <c r="H57" s="417"/>
      <c r="I57" s="417"/>
      <c r="J57" s="417"/>
      <c r="K57" s="417"/>
      <c r="L57" s="417"/>
      <c r="M57" s="417"/>
      <c r="N57" s="417"/>
      <c r="O57" s="417"/>
      <c r="P57" s="417"/>
      <c r="Q57" s="417"/>
      <c r="R57" s="417"/>
      <c r="S57" s="417"/>
      <c r="T57" s="417"/>
      <c r="U57" s="417"/>
      <c r="V57" s="417"/>
      <c r="W57" s="417"/>
      <c r="X57" s="417"/>
      <c r="Y57" s="417"/>
      <c r="Z57" s="417"/>
      <c r="AA57" s="417"/>
      <c r="AB57" s="417"/>
      <c r="AC57" s="417"/>
      <c r="AD57" s="417"/>
      <c r="AE57" s="418"/>
      <c r="AF57" s="151"/>
      <c r="AG57" s="151"/>
      <c r="AH57" s="148"/>
      <c r="AI57" s="148"/>
      <c r="AJ57" s="148"/>
      <c r="AK57" s="148"/>
      <c r="AL57" s="148"/>
      <c r="AM57" s="148"/>
      <c r="AQ57" s="126"/>
      <c r="AR57" s="126"/>
      <c r="AS57" s="126"/>
      <c r="AT57" s="126"/>
      <c r="AU57">
        <f>AU56/2</f>
        <v>24.674999999999997</v>
      </c>
      <c r="BA57" s="113"/>
      <c r="BS57" s="4"/>
      <c r="BT57" s="5"/>
      <c r="BU57" s="5"/>
      <c r="BV57" s="6"/>
    </row>
    <row r="58" spans="2:74" ht="15.75">
      <c r="B58" s="153">
        <v>43410</v>
      </c>
      <c r="C58" s="416" t="s">
        <v>322</v>
      </c>
      <c r="D58" s="417"/>
      <c r="E58" s="417"/>
      <c r="F58" s="417"/>
      <c r="G58" s="417"/>
      <c r="H58" s="417"/>
      <c r="I58" s="417"/>
      <c r="J58" s="417"/>
      <c r="K58" s="417"/>
      <c r="L58" s="417"/>
      <c r="M58" s="417"/>
      <c r="N58" s="417"/>
      <c r="O58" s="417"/>
      <c r="P58" s="417"/>
      <c r="Q58" s="417"/>
      <c r="R58" s="417"/>
      <c r="S58" s="417"/>
      <c r="T58" s="417"/>
      <c r="U58" s="417"/>
      <c r="V58" s="417"/>
      <c r="W58" s="417"/>
      <c r="X58" s="417"/>
      <c r="Y58" s="417"/>
      <c r="Z58" s="417"/>
      <c r="AA58" s="417"/>
      <c r="AB58" s="417"/>
      <c r="AC58" s="417"/>
      <c r="AD58" s="417"/>
      <c r="AE58" s="418"/>
      <c r="AF58" s="151"/>
      <c r="AG58" s="151"/>
      <c r="AH58" s="148"/>
      <c r="AI58" s="148"/>
      <c r="AJ58" s="148"/>
      <c r="AK58" s="148"/>
      <c r="AL58" s="148"/>
      <c r="AM58" s="148"/>
      <c r="AQ58" s="126"/>
      <c r="AR58" s="126"/>
      <c r="AS58" s="126"/>
      <c r="AT58" s="126"/>
      <c r="BA58" s="113"/>
      <c r="BS58" s="4"/>
      <c r="BT58" s="5"/>
      <c r="BU58" s="5"/>
      <c r="BV58" s="6"/>
    </row>
    <row r="59" spans="2:74" ht="15.75">
      <c r="B59" s="153">
        <v>43411</v>
      </c>
      <c r="C59" s="416" t="s">
        <v>322</v>
      </c>
      <c r="D59" s="417"/>
      <c r="E59" s="417"/>
      <c r="F59" s="417"/>
      <c r="G59" s="417"/>
      <c r="H59" s="417"/>
      <c r="I59" s="417"/>
      <c r="J59" s="417"/>
      <c r="K59" s="417"/>
      <c r="L59" s="417"/>
      <c r="M59" s="417"/>
      <c r="N59" s="417"/>
      <c r="O59" s="417"/>
      <c r="P59" s="417"/>
      <c r="Q59" s="417"/>
      <c r="R59" s="417"/>
      <c r="S59" s="417"/>
      <c r="T59" s="417"/>
      <c r="U59" s="417"/>
      <c r="V59" s="417"/>
      <c r="W59" s="417"/>
      <c r="X59" s="417"/>
      <c r="Y59" s="417"/>
      <c r="Z59" s="417"/>
      <c r="AA59" s="417"/>
      <c r="AB59" s="417"/>
      <c r="AC59" s="417"/>
      <c r="AD59" s="417"/>
      <c r="AE59" s="418"/>
      <c r="AF59" s="151"/>
      <c r="AG59" s="151"/>
      <c r="AH59" s="148"/>
      <c r="AI59" s="148"/>
      <c r="AJ59" s="148"/>
      <c r="AK59" s="148"/>
      <c r="AL59" s="148"/>
      <c r="AM59" s="148"/>
      <c r="AQ59" s="126"/>
      <c r="AR59" s="126"/>
      <c r="AS59" s="126"/>
      <c r="AT59" s="126"/>
      <c r="BA59" s="113"/>
      <c r="BS59" s="4"/>
      <c r="BT59" s="5"/>
      <c r="BU59" s="5"/>
      <c r="BV59" s="6"/>
    </row>
    <row r="60" spans="2:74" ht="15.75">
      <c r="B60" s="153">
        <v>43412</v>
      </c>
      <c r="C60" s="416" t="s">
        <v>322</v>
      </c>
      <c r="D60" s="417"/>
      <c r="E60" s="417"/>
      <c r="F60" s="417"/>
      <c r="G60" s="417"/>
      <c r="H60" s="417"/>
      <c r="I60" s="417"/>
      <c r="J60" s="417"/>
      <c r="K60" s="417"/>
      <c r="L60" s="417"/>
      <c r="M60" s="417"/>
      <c r="N60" s="417"/>
      <c r="O60" s="417"/>
      <c r="P60" s="417"/>
      <c r="Q60" s="417"/>
      <c r="R60" s="417"/>
      <c r="S60" s="417"/>
      <c r="T60" s="417"/>
      <c r="U60" s="417"/>
      <c r="V60" s="417"/>
      <c r="W60" s="417"/>
      <c r="X60" s="417"/>
      <c r="Y60" s="417"/>
      <c r="Z60" s="417"/>
      <c r="AA60" s="417"/>
      <c r="AB60" s="417"/>
      <c r="AC60" s="417"/>
      <c r="AD60" s="417"/>
      <c r="AE60" s="418"/>
      <c r="AF60" s="151"/>
      <c r="AG60" s="151"/>
      <c r="AH60" s="148"/>
      <c r="AI60" s="148"/>
      <c r="AJ60" s="148"/>
      <c r="AK60" s="148"/>
      <c r="AL60" s="148"/>
      <c r="AM60" s="148"/>
      <c r="AQ60" s="126"/>
      <c r="AR60" s="126"/>
      <c r="AS60" s="126"/>
      <c r="AT60" s="126"/>
      <c r="BA60" s="113"/>
      <c r="BS60" s="4"/>
      <c r="BT60" s="5"/>
      <c r="BU60" s="5"/>
      <c r="BV60" s="6"/>
    </row>
    <row r="61" spans="2:74" ht="15.75">
      <c r="B61" s="153">
        <v>43413</v>
      </c>
      <c r="C61" s="416" t="s">
        <v>322</v>
      </c>
      <c r="D61" s="417"/>
      <c r="E61" s="417"/>
      <c r="F61" s="417"/>
      <c r="G61" s="417"/>
      <c r="H61" s="417"/>
      <c r="I61" s="417"/>
      <c r="J61" s="417"/>
      <c r="K61" s="417"/>
      <c r="L61" s="417"/>
      <c r="M61" s="417"/>
      <c r="N61" s="417"/>
      <c r="O61" s="417"/>
      <c r="P61" s="417"/>
      <c r="Q61" s="417"/>
      <c r="R61" s="417"/>
      <c r="S61" s="417"/>
      <c r="T61" s="417"/>
      <c r="U61" s="417"/>
      <c r="V61" s="417"/>
      <c r="W61" s="417"/>
      <c r="X61" s="417"/>
      <c r="Y61" s="417"/>
      <c r="Z61" s="417"/>
      <c r="AA61" s="417"/>
      <c r="AB61" s="417"/>
      <c r="AC61" s="417"/>
      <c r="AD61" s="417"/>
      <c r="AE61" s="418"/>
      <c r="AF61" s="151"/>
      <c r="AG61" s="151"/>
      <c r="AH61" s="148"/>
      <c r="AI61" s="148"/>
      <c r="AJ61" s="148"/>
      <c r="AK61" s="148"/>
      <c r="AL61" s="148"/>
      <c r="AM61" s="148"/>
      <c r="AQ61" s="126"/>
      <c r="AR61" s="126"/>
      <c r="AS61" s="126"/>
      <c r="AT61" s="126"/>
      <c r="BA61" s="113"/>
      <c r="BS61" s="4"/>
      <c r="BT61" s="5"/>
      <c r="BU61" s="5"/>
      <c r="BV61" s="6"/>
    </row>
    <row r="62" spans="2:74" ht="15.75">
      <c r="B62" s="153">
        <v>43414</v>
      </c>
      <c r="C62" s="416" t="s">
        <v>322</v>
      </c>
      <c r="D62" s="417"/>
      <c r="E62" s="417"/>
      <c r="F62" s="417"/>
      <c r="G62" s="417"/>
      <c r="H62" s="417"/>
      <c r="I62" s="417"/>
      <c r="J62" s="417"/>
      <c r="K62" s="417"/>
      <c r="L62" s="417"/>
      <c r="M62" s="417"/>
      <c r="N62" s="417"/>
      <c r="O62" s="417"/>
      <c r="P62" s="417"/>
      <c r="Q62" s="417"/>
      <c r="R62" s="417"/>
      <c r="S62" s="417"/>
      <c r="T62" s="417"/>
      <c r="U62" s="417"/>
      <c r="V62" s="417"/>
      <c r="W62" s="417"/>
      <c r="X62" s="417"/>
      <c r="Y62" s="417"/>
      <c r="Z62" s="417"/>
      <c r="AA62" s="417"/>
      <c r="AB62" s="417"/>
      <c r="AC62" s="417"/>
      <c r="AD62" s="417"/>
      <c r="AE62" s="418"/>
      <c r="AF62" s="151"/>
      <c r="AG62" s="151"/>
      <c r="AH62" s="148"/>
      <c r="AI62" s="148"/>
      <c r="AJ62" s="148"/>
      <c r="AK62" s="148"/>
      <c r="AL62" s="148"/>
      <c r="AM62" s="148"/>
      <c r="AQ62" s="126"/>
      <c r="AR62" s="126"/>
      <c r="AS62" s="126"/>
      <c r="AT62" s="126"/>
      <c r="BA62" s="113"/>
      <c r="BS62" s="4"/>
      <c r="BT62" s="5"/>
      <c r="BU62" s="5"/>
      <c r="BV62" s="6"/>
    </row>
    <row r="63" spans="2:74" ht="15.75">
      <c r="B63" s="153">
        <v>43415</v>
      </c>
      <c r="C63" s="416" t="s">
        <v>322</v>
      </c>
      <c r="D63" s="417"/>
      <c r="E63" s="417"/>
      <c r="F63" s="417"/>
      <c r="G63" s="417"/>
      <c r="H63" s="417"/>
      <c r="I63" s="417"/>
      <c r="J63" s="417"/>
      <c r="K63" s="417"/>
      <c r="L63" s="417"/>
      <c r="M63" s="417"/>
      <c r="N63" s="417"/>
      <c r="O63" s="417"/>
      <c r="P63" s="417"/>
      <c r="Q63" s="417"/>
      <c r="R63" s="417"/>
      <c r="S63" s="417"/>
      <c r="T63" s="417"/>
      <c r="U63" s="417"/>
      <c r="V63" s="417"/>
      <c r="W63" s="417"/>
      <c r="X63" s="417"/>
      <c r="Y63" s="417"/>
      <c r="Z63" s="417"/>
      <c r="AA63" s="417"/>
      <c r="AB63" s="417"/>
      <c r="AC63" s="417"/>
      <c r="AD63" s="417"/>
      <c r="AE63" s="418"/>
      <c r="AF63" s="151"/>
      <c r="AG63" s="151"/>
      <c r="AH63" s="148"/>
      <c r="AI63" s="148"/>
      <c r="AJ63" s="148"/>
      <c r="AK63" s="148"/>
      <c r="AL63" s="148"/>
      <c r="AM63" s="148"/>
      <c r="AQ63" s="126"/>
      <c r="AR63" s="126"/>
      <c r="AS63" s="126"/>
      <c r="AT63" s="126"/>
      <c r="BA63" s="113"/>
      <c r="BS63" s="4"/>
      <c r="BT63" s="5"/>
      <c r="BU63" s="5"/>
      <c r="BV63" s="6"/>
    </row>
    <row r="64" spans="2:74" ht="15.75" customHeight="1">
      <c r="B64" s="153">
        <v>43416</v>
      </c>
      <c r="C64" s="416" t="s">
        <v>322</v>
      </c>
      <c r="D64" s="417"/>
      <c r="E64" s="417"/>
      <c r="F64" s="417"/>
      <c r="G64" s="417"/>
      <c r="H64" s="417"/>
      <c r="I64" s="417"/>
      <c r="J64" s="417"/>
      <c r="K64" s="417"/>
      <c r="L64" s="417"/>
      <c r="M64" s="417"/>
      <c r="N64" s="417"/>
      <c r="O64" s="417"/>
      <c r="P64" s="417"/>
      <c r="Q64" s="417"/>
      <c r="R64" s="417"/>
      <c r="S64" s="417"/>
      <c r="T64" s="417"/>
      <c r="U64" s="417"/>
      <c r="V64" s="417"/>
      <c r="W64" s="417"/>
      <c r="X64" s="417"/>
      <c r="Y64" s="417"/>
      <c r="Z64" s="417"/>
      <c r="AA64" s="417"/>
      <c r="AB64" s="417"/>
      <c r="AC64" s="417"/>
      <c r="AD64" s="417"/>
      <c r="AE64" s="418"/>
      <c r="AF64" s="151"/>
      <c r="AG64" s="151"/>
      <c r="AH64" s="148"/>
      <c r="AI64" s="148"/>
      <c r="AJ64" s="148"/>
      <c r="AK64" s="148"/>
      <c r="AL64" s="148"/>
      <c r="AM64" s="148"/>
      <c r="AQ64" s="126"/>
      <c r="AR64" s="126"/>
      <c r="AS64" s="126"/>
      <c r="AT64" s="126"/>
      <c r="BA64" s="113"/>
      <c r="BS64" s="4"/>
      <c r="BT64" s="5"/>
      <c r="BU64" s="5"/>
      <c r="BV64" s="6"/>
    </row>
    <row r="65" spans="2:74" ht="15.75">
      <c r="B65" s="153">
        <v>43417</v>
      </c>
      <c r="C65" s="416" t="s">
        <v>322</v>
      </c>
      <c r="D65" s="417"/>
      <c r="E65" s="417"/>
      <c r="F65" s="417"/>
      <c r="G65" s="417"/>
      <c r="H65" s="417"/>
      <c r="I65" s="417"/>
      <c r="J65" s="417"/>
      <c r="K65" s="417"/>
      <c r="L65" s="417"/>
      <c r="M65" s="417"/>
      <c r="N65" s="417"/>
      <c r="O65" s="417"/>
      <c r="P65" s="417"/>
      <c r="Q65" s="417"/>
      <c r="R65" s="417"/>
      <c r="S65" s="417"/>
      <c r="T65" s="417"/>
      <c r="U65" s="417"/>
      <c r="V65" s="417"/>
      <c r="W65" s="417"/>
      <c r="X65" s="417"/>
      <c r="Y65" s="417"/>
      <c r="Z65" s="417"/>
      <c r="AA65" s="417"/>
      <c r="AB65" s="417"/>
      <c r="AC65" s="417"/>
      <c r="AD65" s="417"/>
      <c r="AE65" s="418"/>
      <c r="AF65" s="151"/>
      <c r="AG65" s="151"/>
      <c r="AH65" s="148"/>
      <c r="AI65" s="148"/>
      <c r="AJ65" s="148"/>
      <c r="AK65" s="148"/>
      <c r="AL65" s="148"/>
      <c r="AM65" s="148"/>
      <c r="AQ65" s="126"/>
      <c r="AR65" s="126"/>
      <c r="AS65" s="126"/>
      <c r="AT65" s="126"/>
      <c r="BA65" s="113"/>
      <c r="BS65" s="4"/>
      <c r="BT65" s="5"/>
      <c r="BU65" s="5"/>
      <c r="BV65" s="6"/>
    </row>
    <row r="66" spans="2:74" ht="15.75">
      <c r="B66" s="153">
        <v>43418</v>
      </c>
      <c r="C66" s="416" t="s">
        <v>322</v>
      </c>
      <c r="D66" s="417"/>
      <c r="E66" s="417"/>
      <c r="F66" s="417"/>
      <c r="G66" s="417"/>
      <c r="H66" s="417"/>
      <c r="I66" s="417"/>
      <c r="J66" s="417"/>
      <c r="K66" s="417"/>
      <c r="L66" s="417"/>
      <c r="M66" s="417"/>
      <c r="N66" s="417"/>
      <c r="O66" s="417"/>
      <c r="P66" s="417"/>
      <c r="Q66" s="417"/>
      <c r="R66" s="417"/>
      <c r="S66" s="417"/>
      <c r="T66" s="417"/>
      <c r="U66" s="417"/>
      <c r="V66" s="417"/>
      <c r="W66" s="417"/>
      <c r="X66" s="417"/>
      <c r="Y66" s="417"/>
      <c r="Z66" s="417"/>
      <c r="AA66" s="417"/>
      <c r="AB66" s="417"/>
      <c r="AC66" s="417"/>
      <c r="AD66" s="417"/>
      <c r="AE66" s="418"/>
      <c r="AF66" s="151"/>
      <c r="AG66" s="151"/>
      <c r="AH66" s="148"/>
      <c r="AI66" s="148"/>
      <c r="AJ66" s="148"/>
      <c r="AK66" s="148"/>
      <c r="AL66" s="148"/>
      <c r="AM66" s="148"/>
      <c r="AQ66" s="126"/>
      <c r="AR66" s="126"/>
      <c r="AS66" s="126"/>
      <c r="AT66" s="126"/>
      <c r="BA66" s="113"/>
      <c r="BS66" s="4"/>
      <c r="BT66" s="5"/>
      <c r="BU66" s="5"/>
      <c r="BV66" s="6"/>
    </row>
    <row r="67" spans="2:74" ht="15.75">
      <c r="B67" s="153">
        <v>43419</v>
      </c>
      <c r="C67" s="416" t="s">
        <v>322</v>
      </c>
      <c r="D67" s="417"/>
      <c r="E67" s="417"/>
      <c r="F67" s="417"/>
      <c r="G67" s="417"/>
      <c r="H67" s="417"/>
      <c r="I67" s="417"/>
      <c r="J67" s="417"/>
      <c r="K67" s="417"/>
      <c r="L67" s="417"/>
      <c r="M67" s="417"/>
      <c r="N67" s="417"/>
      <c r="O67" s="417"/>
      <c r="P67" s="417"/>
      <c r="Q67" s="417"/>
      <c r="R67" s="417"/>
      <c r="S67" s="417"/>
      <c r="T67" s="417"/>
      <c r="U67" s="417"/>
      <c r="V67" s="417"/>
      <c r="W67" s="417"/>
      <c r="X67" s="417"/>
      <c r="Y67" s="417"/>
      <c r="Z67" s="417"/>
      <c r="AA67" s="417"/>
      <c r="AB67" s="417"/>
      <c r="AC67" s="417"/>
      <c r="AD67" s="417"/>
      <c r="AE67" s="418"/>
      <c r="AF67" s="151"/>
      <c r="AG67" s="151"/>
      <c r="AH67" s="148"/>
      <c r="AI67" s="148"/>
      <c r="AJ67" s="148"/>
      <c r="AK67" s="148"/>
      <c r="AL67" s="148"/>
      <c r="AM67" s="148"/>
      <c r="AQ67" s="126"/>
      <c r="AR67" s="126"/>
      <c r="AS67" s="126"/>
      <c r="AT67" s="126"/>
      <c r="BA67" s="113"/>
      <c r="BS67" s="4"/>
      <c r="BT67" s="5"/>
      <c r="BU67" s="5"/>
      <c r="BV67" s="6"/>
    </row>
    <row r="68" spans="2:74" ht="15.75">
      <c r="B68" s="153">
        <v>43420</v>
      </c>
      <c r="C68" s="416" t="s">
        <v>322</v>
      </c>
      <c r="D68" s="417"/>
      <c r="E68" s="417"/>
      <c r="F68" s="417"/>
      <c r="G68" s="417"/>
      <c r="H68" s="417"/>
      <c r="I68" s="417"/>
      <c r="J68" s="417"/>
      <c r="K68" s="417"/>
      <c r="L68" s="417"/>
      <c r="M68" s="417"/>
      <c r="N68" s="417"/>
      <c r="O68" s="417"/>
      <c r="P68" s="417"/>
      <c r="Q68" s="417"/>
      <c r="R68" s="417"/>
      <c r="S68" s="417"/>
      <c r="T68" s="417"/>
      <c r="U68" s="417"/>
      <c r="V68" s="417"/>
      <c r="W68" s="417"/>
      <c r="X68" s="417"/>
      <c r="Y68" s="417"/>
      <c r="Z68" s="417"/>
      <c r="AA68" s="417"/>
      <c r="AB68" s="417"/>
      <c r="AC68" s="417"/>
      <c r="AD68" s="417"/>
      <c r="AE68" s="418"/>
      <c r="AF68" s="151"/>
      <c r="AG68" s="151"/>
      <c r="AH68" s="148"/>
      <c r="AI68" s="148"/>
      <c r="AJ68" s="148"/>
      <c r="AK68" s="148"/>
      <c r="AL68" s="148"/>
      <c r="AM68" s="148"/>
      <c r="AQ68" s="126"/>
      <c r="AR68" s="126"/>
      <c r="AS68" s="126"/>
      <c r="AT68" s="126"/>
      <c r="BA68" s="113"/>
      <c r="BS68" s="4"/>
      <c r="BT68" s="5"/>
      <c r="BU68" s="5"/>
      <c r="BV68" s="6"/>
    </row>
    <row r="69" spans="2:74" ht="15.75">
      <c r="B69" s="153">
        <v>43421</v>
      </c>
      <c r="C69" s="416" t="s">
        <v>322</v>
      </c>
      <c r="D69" s="417"/>
      <c r="E69" s="417"/>
      <c r="F69" s="417"/>
      <c r="G69" s="417"/>
      <c r="H69" s="417"/>
      <c r="I69" s="417"/>
      <c r="J69" s="417"/>
      <c r="K69" s="417"/>
      <c r="L69" s="417"/>
      <c r="M69" s="417"/>
      <c r="N69" s="417"/>
      <c r="O69" s="417"/>
      <c r="P69" s="417"/>
      <c r="Q69" s="417"/>
      <c r="R69" s="417"/>
      <c r="S69" s="417"/>
      <c r="T69" s="417"/>
      <c r="U69" s="417"/>
      <c r="V69" s="417"/>
      <c r="W69" s="417"/>
      <c r="X69" s="417"/>
      <c r="Y69" s="417"/>
      <c r="Z69" s="417"/>
      <c r="AA69" s="417"/>
      <c r="AB69" s="417"/>
      <c r="AC69" s="417"/>
      <c r="AD69" s="417"/>
      <c r="AE69" s="418"/>
      <c r="AF69" s="151"/>
      <c r="AG69" s="151"/>
      <c r="AH69" s="148"/>
      <c r="AI69" s="148"/>
      <c r="AJ69" s="148"/>
      <c r="AK69" s="148"/>
      <c r="AL69" s="148"/>
      <c r="AM69" s="148"/>
      <c r="AQ69" s="126"/>
      <c r="AR69" s="126"/>
      <c r="AS69" s="126"/>
      <c r="AT69" s="126"/>
      <c r="BA69" s="113"/>
      <c r="BS69" s="4"/>
      <c r="BT69" s="5"/>
      <c r="BU69" s="5"/>
      <c r="BV69" s="6"/>
    </row>
    <row r="70" spans="2:74" ht="15.75">
      <c r="B70" s="153">
        <v>43422</v>
      </c>
      <c r="C70" s="416" t="s">
        <v>322</v>
      </c>
      <c r="D70" s="417"/>
      <c r="E70" s="417"/>
      <c r="F70" s="417"/>
      <c r="G70" s="417"/>
      <c r="H70" s="417"/>
      <c r="I70" s="417"/>
      <c r="J70" s="417"/>
      <c r="K70" s="417"/>
      <c r="L70" s="417"/>
      <c r="M70" s="417"/>
      <c r="N70" s="417"/>
      <c r="O70" s="417"/>
      <c r="P70" s="417"/>
      <c r="Q70" s="417"/>
      <c r="R70" s="417"/>
      <c r="S70" s="417"/>
      <c r="T70" s="417"/>
      <c r="U70" s="417"/>
      <c r="V70" s="417"/>
      <c r="W70" s="417"/>
      <c r="X70" s="417"/>
      <c r="Y70" s="417"/>
      <c r="Z70" s="417"/>
      <c r="AA70" s="417"/>
      <c r="AB70" s="417"/>
      <c r="AC70" s="417"/>
      <c r="AD70" s="417"/>
      <c r="AE70" s="418"/>
      <c r="AF70" s="151"/>
      <c r="AG70" s="151"/>
      <c r="AH70" s="148"/>
      <c r="AI70" s="148"/>
      <c r="AJ70" s="148"/>
      <c r="AK70" s="148"/>
      <c r="AL70" s="148"/>
      <c r="AM70" s="148"/>
      <c r="AQ70" s="126"/>
      <c r="AR70" s="126"/>
      <c r="AS70" s="126"/>
      <c r="AT70" s="126"/>
      <c r="BA70" s="113"/>
      <c r="BS70" s="4"/>
      <c r="BT70" s="5"/>
      <c r="BU70" s="5"/>
      <c r="BV70" s="6"/>
    </row>
    <row r="71" spans="2:74" ht="15.75">
      <c r="B71" s="153">
        <v>43423</v>
      </c>
      <c r="C71" s="416" t="s">
        <v>322</v>
      </c>
      <c r="D71" s="417"/>
      <c r="E71" s="417"/>
      <c r="F71" s="417"/>
      <c r="G71" s="417"/>
      <c r="H71" s="417"/>
      <c r="I71" s="417"/>
      <c r="J71" s="417"/>
      <c r="K71" s="417"/>
      <c r="L71" s="417"/>
      <c r="M71" s="417"/>
      <c r="N71" s="417"/>
      <c r="O71" s="417"/>
      <c r="P71" s="417"/>
      <c r="Q71" s="417"/>
      <c r="R71" s="417"/>
      <c r="S71" s="417"/>
      <c r="T71" s="417"/>
      <c r="U71" s="417"/>
      <c r="V71" s="417"/>
      <c r="W71" s="417"/>
      <c r="X71" s="417"/>
      <c r="Y71" s="417"/>
      <c r="Z71" s="417"/>
      <c r="AA71" s="417"/>
      <c r="AB71" s="417"/>
      <c r="AC71" s="417"/>
      <c r="AD71" s="417"/>
      <c r="AE71" s="418"/>
      <c r="AF71" s="151"/>
      <c r="AG71" s="151"/>
      <c r="AH71" s="148"/>
      <c r="AI71" s="148"/>
      <c r="AJ71" s="148"/>
      <c r="AK71" s="148"/>
      <c r="AL71" s="148"/>
      <c r="AM71" s="148"/>
      <c r="AQ71" s="126"/>
      <c r="AR71" s="126"/>
      <c r="AS71" s="126"/>
      <c r="AT71" s="126"/>
      <c r="BA71" s="113"/>
      <c r="BS71" s="4"/>
      <c r="BT71" s="5"/>
      <c r="BU71" s="5"/>
      <c r="BV71" s="6"/>
    </row>
    <row r="72" spans="2:74" ht="15.75">
      <c r="B72" s="153">
        <v>43424</v>
      </c>
      <c r="C72" s="416" t="s">
        <v>322</v>
      </c>
      <c r="D72" s="417"/>
      <c r="E72" s="417"/>
      <c r="F72" s="417"/>
      <c r="G72" s="417"/>
      <c r="H72" s="417"/>
      <c r="I72" s="417"/>
      <c r="J72" s="417"/>
      <c r="K72" s="417"/>
      <c r="L72" s="417"/>
      <c r="M72" s="417"/>
      <c r="N72" s="417"/>
      <c r="O72" s="417"/>
      <c r="P72" s="417"/>
      <c r="Q72" s="417"/>
      <c r="R72" s="417"/>
      <c r="S72" s="417"/>
      <c r="T72" s="417"/>
      <c r="U72" s="417"/>
      <c r="V72" s="417"/>
      <c r="W72" s="417"/>
      <c r="X72" s="417"/>
      <c r="Y72" s="417"/>
      <c r="Z72" s="417"/>
      <c r="AA72" s="417"/>
      <c r="AB72" s="417"/>
      <c r="AC72" s="417"/>
      <c r="AD72" s="417"/>
      <c r="AE72" s="418"/>
      <c r="AF72" s="151"/>
      <c r="AG72" s="151"/>
      <c r="AH72" s="148"/>
      <c r="AI72" s="148"/>
      <c r="AJ72" s="148"/>
      <c r="AK72" s="148"/>
      <c r="AL72" s="148"/>
      <c r="AM72" s="148"/>
      <c r="AQ72" s="126"/>
      <c r="AR72" s="126"/>
      <c r="AS72" s="126"/>
      <c r="AT72" s="126"/>
      <c r="BA72" s="113"/>
      <c r="BS72" s="4"/>
      <c r="BT72" s="5"/>
      <c r="BU72" s="5"/>
      <c r="BV72" s="6"/>
    </row>
    <row r="73" spans="2:74" ht="15.75">
      <c r="B73" s="153">
        <v>43425</v>
      </c>
      <c r="C73" s="416" t="s">
        <v>322</v>
      </c>
      <c r="D73" s="417"/>
      <c r="E73" s="417"/>
      <c r="F73" s="417"/>
      <c r="G73" s="417"/>
      <c r="H73" s="417"/>
      <c r="I73" s="417"/>
      <c r="J73" s="417"/>
      <c r="K73" s="417"/>
      <c r="L73" s="417"/>
      <c r="M73" s="417"/>
      <c r="N73" s="417"/>
      <c r="O73" s="417"/>
      <c r="P73" s="417"/>
      <c r="Q73" s="417"/>
      <c r="R73" s="417"/>
      <c r="S73" s="417"/>
      <c r="T73" s="417"/>
      <c r="U73" s="417"/>
      <c r="V73" s="417"/>
      <c r="W73" s="417"/>
      <c r="X73" s="417"/>
      <c r="Y73" s="417"/>
      <c r="Z73" s="417"/>
      <c r="AA73" s="417"/>
      <c r="AB73" s="417"/>
      <c r="AC73" s="417"/>
      <c r="AD73" s="417"/>
      <c r="AE73" s="418"/>
      <c r="AF73" s="151"/>
      <c r="AG73" s="151"/>
      <c r="AH73" s="148"/>
      <c r="AI73" s="148"/>
      <c r="AJ73" s="148"/>
      <c r="AK73" s="148"/>
      <c r="AL73" s="148"/>
      <c r="AM73" s="148"/>
      <c r="AQ73" s="126"/>
      <c r="AR73" s="126"/>
      <c r="AS73" s="126"/>
      <c r="AT73" s="126"/>
      <c r="BA73" s="113"/>
      <c r="BS73" s="4"/>
      <c r="BT73" s="5"/>
      <c r="BU73" s="5"/>
      <c r="BV73" s="6"/>
    </row>
    <row r="74" spans="2:74" ht="15.75">
      <c r="B74" s="153">
        <v>43426</v>
      </c>
      <c r="C74" s="416" t="s">
        <v>322</v>
      </c>
      <c r="D74" s="417"/>
      <c r="E74" s="417"/>
      <c r="F74" s="417"/>
      <c r="G74" s="417"/>
      <c r="H74" s="417"/>
      <c r="I74" s="417"/>
      <c r="J74" s="417"/>
      <c r="K74" s="417"/>
      <c r="L74" s="417"/>
      <c r="M74" s="417"/>
      <c r="N74" s="417"/>
      <c r="O74" s="417"/>
      <c r="P74" s="417"/>
      <c r="Q74" s="417"/>
      <c r="R74" s="417"/>
      <c r="S74" s="417"/>
      <c r="T74" s="417"/>
      <c r="U74" s="417"/>
      <c r="V74" s="417"/>
      <c r="W74" s="417"/>
      <c r="X74" s="417"/>
      <c r="Y74" s="417"/>
      <c r="Z74" s="417"/>
      <c r="AA74" s="417"/>
      <c r="AB74" s="417"/>
      <c r="AC74" s="417"/>
      <c r="AD74" s="417"/>
      <c r="AE74" s="418"/>
      <c r="AF74" s="151"/>
      <c r="AG74" s="151"/>
      <c r="AH74" s="148"/>
      <c r="AI74" s="148"/>
      <c r="AJ74" s="148"/>
      <c r="AK74" s="148"/>
      <c r="AL74" s="148"/>
      <c r="AM74" s="148"/>
      <c r="AQ74" s="126"/>
      <c r="AR74" s="126"/>
      <c r="AS74" s="126"/>
      <c r="AT74" s="126"/>
      <c r="BA74" s="113"/>
      <c r="BS74" s="4"/>
      <c r="BT74" s="5"/>
      <c r="BU74" s="5"/>
      <c r="BV74" s="6"/>
    </row>
    <row r="75" spans="2:74" ht="15.75">
      <c r="B75" s="153">
        <v>43427</v>
      </c>
      <c r="C75" s="416" t="s">
        <v>322</v>
      </c>
      <c r="D75" s="417"/>
      <c r="E75" s="417"/>
      <c r="F75" s="417"/>
      <c r="G75" s="417"/>
      <c r="H75" s="417"/>
      <c r="I75" s="417"/>
      <c r="J75" s="417"/>
      <c r="K75" s="417"/>
      <c r="L75" s="417"/>
      <c r="M75" s="417"/>
      <c r="N75" s="417"/>
      <c r="O75" s="417"/>
      <c r="P75" s="417"/>
      <c r="Q75" s="417"/>
      <c r="R75" s="417"/>
      <c r="S75" s="417"/>
      <c r="T75" s="417"/>
      <c r="U75" s="417"/>
      <c r="V75" s="417"/>
      <c r="W75" s="417"/>
      <c r="X75" s="417"/>
      <c r="Y75" s="417"/>
      <c r="Z75" s="417"/>
      <c r="AA75" s="417"/>
      <c r="AB75" s="417"/>
      <c r="AC75" s="417"/>
      <c r="AD75" s="417"/>
      <c r="AE75" s="418"/>
      <c r="AF75" s="151"/>
      <c r="AG75" s="151"/>
      <c r="AH75" s="148"/>
      <c r="AI75" s="148"/>
      <c r="AJ75" s="148"/>
      <c r="AK75" s="148"/>
      <c r="AL75" s="148"/>
      <c r="AM75" s="148"/>
      <c r="AQ75" s="126"/>
      <c r="AR75" s="126"/>
      <c r="AS75" s="126"/>
      <c r="AT75" s="126"/>
      <c r="BA75" s="113"/>
      <c r="BS75" s="4"/>
      <c r="BT75" s="5"/>
      <c r="BU75" s="5"/>
      <c r="BV75" s="6"/>
    </row>
    <row r="76" spans="2:74" ht="15.75">
      <c r="B76" s="153">
        <v>43428</v>
      </c>
      <c r="C76" s="416" t="s">
        <v>322</v>
      </c>
      <c r="D76" s="417"/>
      <c r="E76" s="417"/>
      <c r="F76" s="417"/>
      <c r="G76" s="417"/>
      <c r="H76" s="417"/>
      <c r="I76" s="417"/>
      <c r="J76" s="417"/>
      <c r="K76" s="417"/>
      <c r="L76" s="417"/>
      <c r="M76" s="417"/>
      <c r="N76" s="417"/>
      <c r="O76" s="417"/>
      <c r="P76" s="417"/>
      <c r="Q76" s="417"/>
      <c r="R76" s="417"/>
      <c r="S76" s="417"/>
      <c r="T76" s="417"/>
      <c r="U76" s="417"/>
      <c r="V76" s="417"/>
      <c r="W76" s="417"/>
      <c r="X76" s="417"/>
      <c r="Y76" s="417"/>
      <c r="Z76" s="417"/>
      <c r="AA76" s="417"/>
      <c r="AB76" s="417"/>
      <c r="AC76" s="417"/>
      <c r="AD76" s="417"/>
      <c r="AE76" s="418"/>
      <c r="AF76" s="151"/>
      <c r="AG76" s="151"/>
      <c r="AH76" s="148"/>
      <c r="AI76" s="148"/>
      <c r="AJ76" s="148"/>
      <c r="AK76" s="148"/>
      <c r="AL76" s="148"/>
      <c r="AM76" s="148"/>
      <c r="AQ76" s="126"/>
      <c r="AR76" s="126"/>
      <c r="AS76" s="126"/>
      <c r="AT76" s="126"/>
      <c r="BA76" s="113"/>
      <c r="BS76" s="4"/>
      <c r="BT76" s="5"/>
      <c r="BU76" s="5"/>
      <c r="BV76" s="6"/>
    </row>
    <row r="77" spans="2:74" ht="15.75">
      <c r="B77" s="153">
        <v>43429</v>
      </c>
      <c r="C77" s="416" t="s">
        <v>322</v>
      </c>
      <c r="D77" s="417"/>
      <c r="E77" s="417"/>
      <c r="F77" s="417"/>
      <c r="G77" s="417"/>
      <c r="H77" s="417"/>
      <c r="I77" s="417"/>
      <c r="J77" s="417"/>
      <c r="K77" s="417"/>
      <c r="L77" s="417"/>
      <c r="M77" s="417"/>
      <c r="N77" s="417"/>
      <c r="O77" s="417"/>
      <c r="P77" s="417"/>
      <c r="Q77" s="417"/>
      <c r="R77" s="417"/>
      <c r="S77" s="417"/>
      <c r="T77" s="417"/>
      <c r="U77" s="417"/>
      <c r="V77" s="417"/>
      <c r="W77" s="417"/>
      <c r="X77" s="417"/>
      <c r="Y77" s="417"/>
      <c r="Z77" s="417"/>
      <c r="AA77" s="417"/>
      <c r="AB77" s="417"/>
      <c r="AC77" s="417"/>
      <c r="AD77" s="417"/>
      <c r="AE77" s="418"/>
      <c r="AF77" s="151"/>
      <c r="AG77" s="151"/>
      <c r="AH77" s="148"/>
      <c r="AI77" s="148"/>
      <c r="AJ77" s="148"/>
      <c r="AK77" s="148"/>
      <c r="AL77" s="148"/>
      <c r="AM77" s="148"/>
      <c r="AQ77" s="126"/>
      <c r="AR77" s="126"/>
      <c r="AS77" s="126"/>
      <c r="AT77" s="126"/>
      <c r="BA77" s="113"/>
      <c r="BS77" s="4"/>
      <c r="BT77" s="5"/>
      <c r="BU77" s="5"/>
      <c r="BV77" s="6"/>
    </row>
    <row r="78" spans="2:74" ht="15.75">
      <c r="B78" s="153">
        <v>43430</v>
      </c>
      <c r="C78" s="416" t="s">
        <v>322</v>
      </c>
      <c r="D78" s="417"/>
      <c r="E78" s="417"/>
      <c r="F78" s="417"/>
      <c r="G78" s="417"/>
      <c r="H78" s="417"/>
      <c r="I78" s="417"/>
      <c r="J78" s="417"/>
      <c r="K78" s="417"/>
      <c r="L78" s="417"/>
      <c r="M78" s="417"/>
      <c r="N78" s="417"/>
      <c r="O78" s="417"/>
      <c r="P78" s="417"/>
      <c r="Q78" s="417"/>
      <c r="R78" s="417"/>
      <c r="S78" s="417"/>
      <c r="T78" s="417"/>
      <c r="U78" s="417"/>
      <c r="V78" s="417"/>
      <c r="W78" s="417"/>
      <c r="X78" s="417"/>
      <c r="Y78" s="417"/>
      <c r="Z78" s="417"/>
      <c r="AA78" s="417"/>
      <c r="AB78" s="417"/>
      <c r="AC78" s="417"/>
      <c r="AD78" s="417"/>
      <c r="AE78" s="418"/>
      <c r="AF78" s="151"/>
      <c r="AG78" s="151"/>
      <c r="AH78" s="148"/>
      <c r="AI78" s="148"/>
      <c r="AJ78" s="148"/>
      <c r="AK78" s="148"/>
      <c r="AL78" s="148"/>
      <c r="AM78" s="148"/>
      <c r="AQ78" s="126"/>
      <c r="AR78" s="126"/>
      <c r="AS78" s="126"/>
      <c r="AT78" s="126"/>
      <c r="BA78" s="113"/>
      <c r="BS78" s="4"/>
      <c r="BT78" s="5"/>
      <c r="BU78" s="5"/>
      <c r="BV78" s="6"/>
    </row>
    <row r="79" spans="2:74" ht="15.75">
      <c r="B79" s="153">
        <v>43431</v>
      </c>
      <c r="C79" s="416" t="s">
        <v>322</v>
      </c>
      <c r="D79" s="417"/>
      <c r="E79" s="417"/>
      <c r="F79" s="417"/>
      <c r="G79" s="417"/>
      <c r="H79" s="417"/>
      <c r="I79" s="417"/>
      <c r="J79" s="417"/>
      <c r="K79" s="417"/>
      <c r="L79" s="417"/>
      <c r="M79" s="417"/>
      <c r="N79" s="417"/>
      <c r="O79" s="417"/>
      <c r="P79" s="417"/>
      <c r="Q79" s="417"/>
      <c r="R79" s="417"/>
      <c r="S79" s="417"/>
      <c r="T79" s="417"/>
      <c r="U79" s="417"/>
      <c r="V79" s="417"/>
      <c r="W79" s="417"/>
      <c r="X79" s="417"/>
      <c r="Y79" s="417"/>
      <c r="Z79" s="417"/>
      <c r="AA79" s="417"/>
      <c r="AB79" s="417"/>
      <c r="AC79" s="417"/>
      <c r="AD79" s="417"/>
      <c r="AE79" s="418"/>
      <c r="AF79" s="151"/>
      <c r="AG79" s="151"/>
      <c r="AH79" s="148"/>
      <c r="AI79" s="148"/>
      <c r="AJ79" s="148"/>
      <c r="AK79" s="148"/>
      <c r="AL79" s="148"/>
      <c r="AM79" s="148"/>
      <c r="AQ79" s="126"/>
      <c r="AR79" s="126"/>
      <c r="AS79" s="126"/>
      <c r="AT79" s="126"/>
      <c r="BA79" s="113"/>
      <c r="BS79" s="4"/>
      <c r="BT79" s="5"/>
      <c r="BU79" s="5"/>
      <c r="BV79" s="6"/>
    </row>
    <row r="80" spans="2:74" ht="15.75">
      <c r="B80" s="153">
        <v>43432</v>
      </c>
      <c r="C80" s="416" t="s">
        <v>322</v>
      </c>
      <c r="D80" s="417"/>
      <c r="E80" s="417"/>
      <c r="F80" s="417"/>
      <c r="G80" s="417"/>
      <c r="H80" s="417"/>
      <c r="I80" s="417"/>
      <c r="J80" s="417"/>
      <c r="K80" s="417"/>
      <c r="L80" s="417"/>
      <c r="M80" s="417"/>
      <c r="N80" s="417"/>
      <c r="O80" s="417"/>
      <c r="P80" s="417"/>
      <c r="Q80" s="417"/>
      <c r="R80" s="417"/>
      <c r="S80" s="417"/>
      <c r="T80" s="417"/>
      <c r="U80" s="417"/>
      <c r="V80" s="417"/>
      <c r="W80" s="417"/>
      <c r="X80" s="417"/>
      <c r="Y80" s="417"/>
      <c r="Z80" s="417"/>
      <c r="AA80" s="417"/>
      <c r="AB80" s="417"/>
      <c r="AC80" s="417"/>
      <c r="AD80" s="417"/>
      <c r="AE80" s="418"/>
      <c r="AF80" s="151"/>
      <c r="AG80" s="151"/>
      <c r="AH80" s="148"/>
      <c r="AI80" s="148"/>
      <c r="AJ80" s="148"/>
      <c r="AK80" s="148"/>
      <c r="AL80" s="148"/>
      <c r="AM80" s="148"/>
      <c r="AQ80" s="126"/>
      <c r="AR80" s="126"/>
      <c r="AS80" s="126"/>
      <c r="AT80" s="126"/>
      <c r="BA80" s="113"/>
      <c r="BS80" s="4"/>
      <c r="BT80" s="5"/>
      <c r="BU80" s="5"/>
      <c r="BV80" s="6"/>
    </row>
    <row r="81" spans="2:74" ht="15.75">
      <c r="B81" s="153">
        <v>43433</v>
      </c>
      <c r="C81" s="416" t="s">
        <v>322</v>
      </c>
      <c r="D81" s="417"/>
      <c r="E81" s="417"/>
      <c r="F81" s="417"/>
      <c r="G81" s="417"/>
      <c r="H81" s="417"/>
      <c r="I81" s="417"/>
      <c r="J81" s="417"/>
      <c r="K81" s="417"/>
      <c r="L81" s="417"/>
      <c r="M81" s="417"/>
      <c r="N81" s="417"/>
      <c r="O81" s="417"/>
      <c r="P81" s="417"/>
      <c r="Q81" s="417"/>
      <c r="R81" s="417"/>
      <c r="S81" s="417"/>
      <c r="T81" s="417"/>
      <c r="U81" s="417"/>
      <c r="V81" s="417"/>
      <c r="W81" s="417"/>
      <c r="X81" s="417"/>
      <c r="Y81" s="417"/>
      <c r="Z81" s="417"/>
      <c r="AA81" s="417"/>
      <c r="AB81" s="417"/>
      <c r="AC81" s="417"/>
      <c r="AD81" s="417"/>
      <c r="AE81" s="418"/>
      <c r="AF81" s="151"/>
      <c r="AG81" s="151"/>
      <c r="AH81" s="148"/>
      <c r="AI81" s="148"/>
      <c r="AJ81" s="148"/>
      <c r="AK81" s="148"/>
      <c r="AL81" s="148"/>
      <c r="AM81" s="148"/>
      <c r="AQ81" s="126"/>
      <c r="AR81" s="126"/>
      <c r="AS81" s="126"/>
      <c r="AT81" s="126"/>
      <c r="BA81" s="113"/>
      <c r="BS81" s="4"/>
      <c r="BT81" s="5"/>
      <c r="BU81" s="5"/>
      <c r="BV81" s="6"/>
    </row>
    <row r="82" spans="2:74" ht="15.75">
      <c r="B82" s="153">
        <v>43434</v>
      </c>
      <c r="C82" s="416" t="s">
        <v>322</v>
      </c>
      <c r="D82" s="417"/>
      <c r="E82" s="417"/>
      <c r="F82" s="417"/>
      <c r="G82" s="417"/>
      <c r="H82" s="417"/>
      <c r="I82" s="417"/>
      <c r="J82" s="417"/>
      <c r="K82" s="417"/>
      <c r="L82" s="417"/>
      <c r="M82" s="417"/>
      <c r="N82" s="417"/>
      <c r="O82" s="417"/>
      <c r="P82" s="417"/>
      <c r="Q82" s="417"/>
      <c r="R82" s="417"/>
      <c r="S82" s="417"/>
      <c r="T82" s="417"/>
      <c r="U82" s="417"/>
      <c r="V82" s="417"/>
      <c r="W82" s="417"/>
      <c r="X82" s="417"/>
      <c r="Y82" s="417"/>
      <c r="Z82" s="417"/>
      <c r="AA82" s="417"/>
      <c r="AB82" s="417"/>
      <c r="AC82" s="417"/>
      <c r="AD82" s="417"/>
      <c r="AE82" s="418"/>
      <c r="AF82" s="151"/>
      <c r="AG82" s="151"/>
      <c r="AH82" s="148"/>
      <c r="AI82" s="148"/>
      <c r="AJ82" s="148"/>
      <c r="AK82" s="148"/>
      <c r="AL82" s="148"/>
      <c r="AM82" s="148"/>
      <c r="AQ82" s="126"/>
      <c r="AR82" s="126"/>
      <c r="AS82" s="126"/>
      <c r="AT82" s="126"/>
      <c r="BA82" s="113"/>
      <c r="BS82" s="4"/>
      <c r="BT82" s="5"/>
      <c r="BU82" s="5"/>
      <c r="BV82" s="6"/>
    </row>
    <row r="101" spans="9:18">
      <c r="L101">
        <f>15+(53/60)</f>
        <v>15.883333333333333</v>
      </c>
      <c r="M101">
        <f>L101-L102</f>
        <v>17.466666666666669</v>
      </c>
      <c r="N101">
        <f>M101*60</f>
        <v>1048</v>
      </c>
    </row>
    <row r="102" spans="9:18">
      <c r="I102">
        <v>23</v>
      </c>
      <c r="J102">
        <v>6</v>
      </c>
      <c r="K102">
        <f>I102+(J102/60)</f>
        <v>23.1</v>
      </c>
      <c r="L102">
        <f>K103-K102</f>
        <v>-1.5833333333333357</v>
      </c>
      <c r="M102">
        <f>L102-15</f>
        <v>-16.583333333333336</v>
      </c>
      <c r="N102">
        <f>M102*60</f>
        <v>-995.00000000000011</v>
      </c>
      <c r="R102">
        <f>54/60</f>
        <v>0.9</v>
      </c>
    </row>
    <row r="103" spans="9:18">
      <c r="I103">
        <v>21</v>
      </c>
      <c r="J103">
        <v>31</v>
      </c>
      <c r="K103">
        <f>I103+(J103/60)</f>
        <v>21.516666666666666</v>
      </c>
      <c r="L103">
        <f>L102-13</f>
        <v>-14.583333333333336</v>
      </c>
      <c r="M103">
        <f>L103*60</f>
        <v>-875.00000000000011</v>
      </c>
      <c r="R103">
        <f>R102*60</f>
        <v>54</v>
      </c>
    </row>
    <row r="105" spans="9:18">
      <c r="O105">
        <f>23.1-13.58</f>
        <v>9.5200000000000014</v>
      </c>
      <c r="P105">
        <f>O105-9</f>
        <v>0.52000000000000135</v>
      </c>
      <c r="Q105">
        <f>P105*60</f>
        <v>31.200000000000081</v>
      </c>
    </row>
  </sheetData>
  <mergeCells count="116">
    <mergeCell ref="C81:AE81"/>
    <mergeCell ref="C82:AE82"/>
    <mergeCell ref="C75:AE75"/>
    <mergeCell ref="C76:AE76"/>
    <mergeCell ref="C77:AE77"/>
    <mergeCell ref="C78:AE78"/>
    <mergeCell ref="C79:AE79"/>
    <mergeCell ref="C80:AE80"/>
    <mergeCell ref="C69:AE69"/>
    <mergeCell ref="C70:AE70"/>
    <mergeCell ref="C71:AE71"/>
    <mergeCell ref="C72:AE72"/>
    <mergeCell ref="C73:AE73"/>
    <mergeCell ref="C74:AE74"/>
    <mergeCell ref="C63:AE63"/>
    <mergeCell ref="C64:AE64"/>
    <mergeCell ref="C65:AE65"/>
    <mergeCell ref="C66:AE66"/>
    <mergeCell ref="C67:AE67"/>
    <mergeCell ref="C68:AE68"/>
    <mergeCell ref="C57:AE57"/>
    <mergeCell ref="C58:AE58"/>
    <mergeCell ref="C59:AE59"/>
    <mergeCell ref="C60:AE60"/>
    <mergeCell ref="C61:AE61"/>
    <mergeCell ref="C62:AE62"/>
    <mergeCell ref="P44:Q44"/>
    <mergeCell ref="C52:AE52"/>
    <mergeCell ref="C53:AE53"/>
    <mergeCell ref="C54:AE54"/>
    <mergeCell ref="C55:AE55"/>
    <mergeCell ref="C56:AE56"/>
    <mergeCell ref="A34:A40"/>
    <mergeCell ref="F44:G44"/>
    <mergeCell ref="H44:I44"/>
    <mergeCell ref="J44:K44"/>
    <mergeCell ref="L44:M44"/>
    <mergeCell ref="N44:O44"/>
    <mergeCell ref="BO4:BO5"/>
    <mergeCell ref="BW4:BW5"/>
    <mergeCell ref="A6:A12"/>
    <mergeCell ref="A13:A19"/>
    <mergeCell ref="A20:A26"/>
    <mergeCell ref="A27:A33"/>
    <mergeCell ref="CA3:CA5"/>
    <mergeCell ref="CB3:CB5"/>
    <mergeCell ref="CD3:CE3"/>
    <mergeCell ref="AX3:AX5"/>
    <mergeCell ref="AY3:AY5"/>
    <mergeCell ref="AZ3:AZ5"/>
    <mergeCell ref="BB3:BB5"/>
    <mergeCell ref="BC3:BC5"/>
    <mergeCell ref="AP3:AP5"/>
    <mergeCell ref="AQ3:AQ5"/>
    <mergeCell ref="AR3:AR5"/>
    <mergeCell ref="AT3:AT5"/>
    <mergeCell ref="AU3:AU5"/>
    <mergeCell ref="AV3:AV5"/>
    <mergeCell ref="AJ3:AJ5"/>
    <mergeCell ref="AK3:AK5"/>
    <mergeCell ref="AL3:AL5"/>
    <mergeCell ref="AM3:AM5"/>
    <mergeCell ref="CF3:CG3"/>
    <mergeCell ref="H4:I4"/>
    <mergeCell ref="J4:K4"/>
    <mergeCell ref="L4:M4"/>
    <mergeCell ref="N4:O4"/>
    <mergeCell ref="BH4:BH5"/>
    <mergeCell ref="BI4:BI5"/>
    <mergeCell ref="BQ3:BQ5"/>
    <mergeCell ref="BR3:BR5"/>
    <mergeCell ref="BT3:BT5"/>
    <mergeCell ref="BU3:BU5"/>
    <mergeCell ref="BX3:BX5"/>
    <mergeCell ref="BY3:BY5"/>
    <mergeCell ref="BD3:BD5"/>
    <mergeCell ref="BE3:BE5"/>
    <mergeCell ref="BF3:BF5"/>
    <mergeCell ref="BG3:BG5"/>
    <mergeCell ref="BL3:BM3"/>
    <mergeCell ref="BP3:BP5"/>
    <mergeCell ref="BK4:BK5"/>
    <mergeCell ref="BL4:BL5"/>
    <mergeCell ref="BM4:BM5"/>
    <mergeCell ref="BN4:BN5"/>
    <mergeCell ref="AW3:AW5"/>
    <mergeCell ref="AN3:AN5"/>
    <mergeCell ref="AO3:AO5"/>
    <mergeCell ref="AD3:AD5"/>
    <mergeCell ref="AE3:AE5"/>
    <mergeCell ref="AF3:AF5"/>
    <mergeCell ref="AG3:AG5"/>
    <mergeCell ref="AH3:AH5"/>
    <mergeCell ref="AI3:AI5"/>
    <mergeCell ref="X3:X5"/>
    <mergeCell ref="Y3:Y5"/>
    <mergeCell ref="Z3:Z5"/>
    <mergeCell ref="AA3:AA5"/>
    <mergeCell ref="AB3:AB5"/>
    <mergeCell ref="AC3:AC5"/>
    <mergeCell ref="R3:R5"/>
    <mergeCell ref="S3:S5"/>
    <mergeCell ref="T3:T5"/>
    <mergeCell ref="U3:U5"/>
    <mergeCell ref="V3:V5"/>
    <mergeCell ref="W3:W5"/>
    <mergeCell ref="B1:Y1"/>
    <mergeCell ref="B2:AG2"/>
    <mergeCell ref="B3:B5"/>
    <mergeCell ref="C3:C5"/>
    <mergeCell ref="D3:D5"/>
    <mergeCell ref="E3:E5"/>
    <mergeCell ref="F3:G4"/>
    <mergeCell ref="H3:K3"/>
    <mergeCell ref="L3:O3"/>
    <mergeCell ref="P3:Q4"/>
  </mergeCells>
  <conditionalFormatting sqref="R13:T15">
    <cfRule type="cellIs" dxfId="1" priority="1" stopIfTrue="1" operator="greaterThan">
      <formula>3768</formula>
    </cfRule>
  </conditionalFormatting>
  <pageMargins left="0.7" right="0.7" top="0.75" bottom="0.75" header="0.3" footer="0.3"/>
  <pageSetup paperSize="9" scale="21" orientation="portrait" r:id="rId1"/>
  <colBreaks count="1" manualBreakCount="1">
    <brk id="44" max="41" man="1"/>
  </colBreaks>
  <legacyDrawing r:id="rId2"/>
</worksheet>
</file>

<file path=xl/worksheets/sheet12.xml><?xml version="1.0" encoding="utf-8"?>
<worksheet xmlns="http://schemas.openxmlformats.org/spreadsheetml/2006/main" xmlns:r="http://schemas.openxmlformats.org/officeDocument/2006/relationships">
  <dimension ref="A1:CG107"/>
  <sheetViews>
    <sheetView workbookViewId="0">
      <pane xSplit="2" ySplit="5" topLeftCell="AB19" activePane="bottomRight" state="frozen"/>
      <selection pane="topRight" activeCell="C1" sqref="C1"/>
      <selection pane="bottomLeft" activeCell="A6" sqref="A6"/>
      <selection pane="bottomRight" activeCell="AO11" sqref="AO11:AO41"/>
    </sheetView>
  </sheetViews>
  <sheetFormatPr defaultRowHeight="15"/>
  <cols>
    <col min="2" max="2" width="9.42578125" bestFit="1" customWidth="1"/>
    <col min="3" max="4" width="9.28515625" bestFit="1" customWidth="1"/>
    <col min="5" max="5" width="9.42578125" bestFit="1" customWidth="1"/>
    <col min="6" max="21" width="9.28515625" bestFit="1" customWidth="1"/>
    <col min="22" max="22" width="9.5703125" customWidth="1"/>
    <col min="23" max="23" width="9.28515625" bestFit="1" customWidth="1"/>
    <col min="24" max="24" width="9.85546875" bestFit="1" customWidth="1"/>
    <col min="25" max="25" width="9.28515625" customWidth="1"/>
    <col min="37" max="37" width="10.85546875" customWidth="1"/>
    <col min="39" max="39" width="11" customWidth="1"/>
    <col min="40" max="40" width="10.5703125" customWidth="1"/>
    <col min="41" max="41" width="9.42578125" customWidth="1"/>
    <col min="42" max="42" width="11.5703125" customWidth="1"/>
    <col min="66" max="66" width="9.5703125" bestFit="1" customWidth="1"/>
    <col min="79" max="79" width="12.42578125" customWidth="1"/>
    <col min="80" max="80" width="12" customWidth="1"/>
    <col min="81" max="81" width="8.28515625" customWidth="1"/>
    <col min="82" max="82" width="10" customWidth="1"/>
  </cols>
  <sheetData>
    <row r="1" spans="1:85" ht="18">
      <c r="B1" s="489" t="s">
        <v>0</v>
      </c>
      <c r="C1" s="489"/>
      <c r="D1" s="489"/>
      <c r="E1" s="489"/>
      <c r="F1" s="489"/>
      <c r="G1" s="489"/>
      <c r="H1" s="489"/>
      <c r="I1" s="489"/>
      <c r="J1" s="489"/>
      <c r="K1" s="489"/>
      <c r="L1" s="489"/>
      <c r="M1" s="489"/>
      <c r="N1" s="489"/>
      <c r="O1" s="489"/>
      <c r="P1" s="489"/>
      <c r="Q1" s="489"/>
      <c r="R1" s="489"/>
      <c r="S1" s="489"/>
      <c r="T1" s="489"/>
      <c r="U1" s="489"/>
      <c r="V1" s="489"/>
      <c r="W1" s="489"/>
      <c r="X1" s="489"/>
      <c r="Y1" s="489"/>
      <c r="Z1" s="1"/>
      <c r="AA1" s="2"/>
      <c r="AB1" s="2"/>
      <c r="AC1" s="2"/>
      <c r="AD1" s="2"/>
      <c r="AE1" s="3"/>
      <c r="AF1" s="3"/>
      <c r="AG1" s="3"/>
      <c r="AH1" s="3"/>
      <c r="AI1" s="3"/>
      <c r="AJ1" s="3"/>
      <c r="AK1" s="3"/>
      <c r="AL1" s="3"/>
      <c r="AM1" s="3"/>
      <c r="AS1" s="4"/>
      <c r="BA1" s="4"/>
      <c r="BS1" s="4"/>
      <c r="BT1" s="5"/>
      <c r="BU1" s="5"/>
      <c r="BV1" s="6"/>
    </row>
    <row r="2" spans="1:85" ht="18.75" thickBot="1">
      <c r="B2" s="490">
        <v>43435</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7"/>
      <c r="AI2" s="7"/>
      <c r="AJ2" s="7"/>
      <c r="AK2" s="8"/>
      <c r="AL2" s="8"/>
      <c r="AM2" s="8"/>
      <c r="AN2" s="8"/>
      <c r="AO2" s="8"/>
      <c r="AP2" s="8"/>
      <c r="AQ2" s="8"/>
      <c r="AR2" s="8"/>
      <c r="AS2" s="9"/>
      <c r="AT2" s="10"/>
      <c r="AU2" s="10"/>
      <c r="AV2" s="10"/>
      <c r="AW2" s="10"/>
      <c r="AX2" s="10"/>
      <c r="AY2" s="11"/>
      <c r="AZ2" s="11"/>
      <c r="BA2" s="4"/>
      <c r="BS2" s="4"/>
      <c r="BT2" s="5"/>
      <c r="BU2" s="5"/>
      <c r="BV2" s="6"/>
    </row>
    <row r="3" spans="1:85" ht="30.75" thickBot="1">
      <c r="A3" s="12"/>
      <c r="B3" s="491" t="s">
        <v>1</v>
      </c>
      <c r="C3" s="442" t="s">
        <v>2</v>
      </c>
      <c r="D3" s="494" t="s">
        <v>3</v>
      </c>
      <c r="E3" s="442" t="s">
        <v>130</v>
      </c>
      <c r="F3" s="497" t="s">
        <v>4</v>
      </c>
      <c r="G3" s="498"/>
      <c r="H3" s="477" t="s">
        <v>5</v>
      </c>
      <c r="I3" s="501"/>
      <c r="J3" s="501"/>
      <c r="K3" s="480"/>
      <c r="L3" s="477" t="s">
        <v>6</v>
      </c>
      <c r="M3" s="501"/>
      <c r="N3" s="501"/>
      <c r="O3" s="480"/>
      <c r="P3" s="502" t="s">
        <v>7</v>
      </c>
      <c r="Q3" s="503"/>
      <c r="R3" s="506" t="s">
        <v>8</v>
      </c>
      <c r="S3" s="422" t="s">
        <v>9</v>
      </c>
      <c r="T3" s="425" t="s">
        <v>10</v>
      </c>
      <c r="U3" s="433" t="s">
        <v>11</v>
      </c>
      <c r="V3" s="436" t="s">
        <v>12</v>
      </c>
      <c r="W3" s="439" t="s">
        <v>13</v>
      </c>
      <c r="X3" s="439" t="s">
        <v>14</v>
      </c>
      <c r="Y3" s="439" t="s">
        <v>15</v>
      </c>
      <c r="Z3" s="439" t="s">
        <v>16</v>
      </c>
      <c r="AA3" s="439" t="s">
        <v>17</v>
      </c>
      <c r="AB3" s="439" t="s">
        <v>18</v>
      </c>
      <c r="AC3" s="515" t="s">
        <v>19</v>
      </c>
      <c r="AD3" s="512" t="s">
        <v>20</v>
      </c>
      <c r="AE3" s="509" t="s">
        <v>21</v>
      </c>
      <c r="AF3" s="512" t="s">
        <v>22</v>
      </c>
      <c r="AG3" s="465" t="s">
        <v>23</v>
      </c>
      <c r="AH3" s="465" t="s">
        <v>24</v>
      </c>
      <c r="AI3" s="465" t="s">
        <v>25</v>
      </c>
      <c r="AJ3" s="468" t="s">
        <v>26</v>
      </c>
      <c r="AK3" s="518" t="s">
        <v>27</v>
      </c>
      <c r="AL3" s="419" t="s">
        <v>28</v>
      </c>
      <c r="AM3" s="468" t="s">
        <v>29</v>
      </c>
      <c r="AN3" s="419" t="s">
        <v>30</v>
      </c>
      <c r="AO3" s="419" t="s">
        <v>31</v>
      </c>
      <c r="AP3" s="468" t="s">
        <v>32</v>
      </c>
      <c r="AQ3" s="471" t="s">
        <v>33</v>
      </c>
      <c r="AR3" s="459" t="s">
        <v>34</v>
      </c>
      <c r="AS3" s="13"/>
      <c r="AT3" s="462" t="s">
        <v>35</v>
      </c>
      <c r="AU3" s="447" t="s">
        <v>36</v>
      </c>
      <c r="AV3" s="447" t="s">
        <v>37</v>
      </c>
      <c r="AW3" s="447" t="s">
        <v>38</v>
      </c>
      <c r="AX3" s="447" t="s">
        <v>39</v>
      </c>
      <c r="AY3" s="447" t="s">
        <v>40</v>
      </c>
      <c r="AZ3" s="447" t="s">
        <v>41</v>
      </c>
      <c r="BA3" s="4"/>
      <c r="BB3" s="447" t="s">
        <v>42</v>
      </c>
      <c r="BC3" s="447" t="s">
        <v>43</v>
      </c>
      <c r="BD3" s="447" t="s">
        <v>44</v>
      </c>
      <c r="BE3" s="447" t="s">
        <v>45</v>
      </c>
      <c r="BF3" s="447" t="s">
        <v>46</v>
      </c>
      <c r="BG3" s="447" t="s">
        <v>47</v>
      </c>
      <c r="BH3" s="14" t="s">
        <v>48</v>
      </c>
      <c r="BI3" s="14" t="s">
        <v>49</v>
      </c>
      <c r="BJ3" s="14" t="s">
        <v>50</v>
      </c>
      <c r="BK3" s="14" t="s">
        <v>51</v>
      </c>
      <c r="BL3" s="445" t="s">
        <v>52</v>
      </c>
      <c r="BM3" s="446"/>
      <c r="BN3" s="14" t="s">
        <v>53</v>
      </c>
      <c r="BO3" s="14" t="s">
        <v>54</v>
      </c>
      <c r="BP3" s="447" t="s">
        <v>55</v>
      </c>
      <c r="BQ3" s="484" t="s">
        <v>56</v>
      </c>
      <c r="BR3" s="484" t="s">
        <v>57</v>
      </c>
      <c r="BS3" s="15"/>
      <c r="BT3" s="481" t="s">
        <v>58</v>
      </c>
      <c r="BU3" s="481" t="s">
        <v>59</v>
      </c>
      <c r="BV3" s="6"/>
      <c r="BW3" s="14" t="s">
        <v>60</v>
      </c>
      <c r="BX3" s="447" t="s">
        <v>61</v>
      </c>
      <c r="BY3" s="447" t="s">
        <v>62</v>
      </c>
      <c r="CA3" s="474" t="s">
        <v>63</v>
      </c>
      <c r="CB3" s="474" t="s">
        <v>64</v>
      </c>
      <c r="CD3" s="487" t="s">
        <v>124</v>
      </c>
      <c r="CE3" s="488"/>
      <c r="CF3" s="487" t="s">
        <v>128</v>
      </c>
      <c r="CG3" s="488"/>
    </row>
    <row r="4" spans="1:85" ht="26.25" thickBot="1">
      <c r="A4" s="16"/>
      <c r="B4" s="492"/>
      <c r="C4" s="443"/>
      <c r="D4" s="495"/>
      <c r="E4" s="443"/>
      <c r="F4" s="499"/>
      <c r="G4" s="500"/>
      <c r="H4" s="477" t="s">
        <v>65</v>
      </c>
      <c r="I4" s="478"/>
      <c r="J4" s="479" t="s">
        <v>66</v>
      </c>
      <c r="K4" s="480"/>
      <c r="L4" s="477" t="s">
        <v>65</v>
      </c>
      <c r="M4" s="478"/>
      <c r="N4" s="479" t="s">
        <v>66</v>
      </c>
      <c r="O4" s="480"/>
      <c r="P4" s="504"/>
      <c r="Q4" s="505"/>
      <c r="R4" s="507"/>
      <c r="S4" s="423"/>
      <c r="T4" s="426"/>
      <c r="U4" s="434"/>
      <c r="V4" s="437"/>
      <c r="W4" s="440"/>
      <c r="X4" s="440"/>
      <c r="Y4" s="440"/>
      <c r="Z4" s="440"/>
      <c r="AA4" s="440"/>
      <c r="AB4" s="440"/>
      <c r="AC4" s="516"/>
      <c r="AD4" s="513"/>
      <c r="AE4" s="510"/>
      <c r="AF4" s="513"/>
      <c r="AG4" s="466"/>
      <c r="AH4" s="466"/>
      <c r="AI4" s="466"/>
      <c r="AJ4" s="469"/>
      <c r="AK4" s="519"/>
      <c r="AL4" s="420"/>
      <c r="AM4" s="469"/>
      <c r="AN4" s="420"/>
      <c r="AO4" s="420"/>
      <c r="AP4" s="469"/>
      <c r="AQ4" s="472"/>
      <c r="AR4" s="460"/>
      <c r="AS4" s="13"/>
      <c r="AT4" s="463"/>
      <c r="AU4" s="440"/>
      <c r="AV4" s="440"/>
      <c r="AW4" s="440"/>
      <c r="AX4" s="440"/>
      <c r="AY4" s="440"/>
      <c r="AZ4" s="440"/>
      <c r="BA4" s="4"/>
      <c r="BB4" s="440"/>
      <c r="BC4" s="440"/>
      <c r="BD4" s="440"/>
      <c r="BE4" s="440"/>
      <c r="BF4" s="440"/>
      <c r="BG4" s="440"/>
      <c r="BH4" s="457" t="s">
        <v>67</v>
      </c>
      <c r="BI4" s="457" t="s">
        <v>67</v>
      </c>
      <c r="BJ4" s="17" t="s">
        <v>68</v>
      </c>
      <c r="BK4" s="449" t="s">
        <v>69</v>
      </c>
      <c r="BL4" s="449" t="s">
        <v>69</v>
      </c>
      <c r="BM4" s="449" t="s">
        <v>70</v>
      </c>
      <c r="BN4" s="457" t="s">
        <v>71</v>
      </c>
      <c r="BO4" s="457" t="s">
        <v>72</v>
      </c>
      <c r="BP4" s="440"/>
      <c r="BQ4" s="485"/>
      <c r="BR4" s="485"/>
      <c r="BS4" s="15"/>
      <c r="BT4" s="482"/>
      <c r="BU4" s="482"/>
      <c r="BV4" s="6"/>
      <c r="BW4" s="457" t="s">
        <v>67</v>
      </c>
      <c r="BX4" s="440"/>
      <c r="BY4" s="440"/>
      <c r="CA4" s="475"/>
      <c r="CB4" s="475"/>
      <c r="CD4" s="211" t="s">
        <v>129</v>
      </c>
      <c r="CE4" s="210" t="s">
        <v>125</v>
      </c>
      <c r="CF4" s="211" t="s">
        <v>129</v>
      </c>
      <c r="CG4" s="210" t="s">
        <v>125</v>
      </c>
    </row>
    <row r="5" spans="1:85" ht="15.75" thickBot="1">
      <c r="A5" s="16"/>
      <c r="B5" s="493"/>
      <c r="C5" s="444"/>
      <c r="D5" s="496"/>
      <c r="E5" s="444"/>
      <c r="F5" s="18" t="s">
        <v>73</v>
      </c>
      <c r="G5" s="19" t="s">
        <v>74</v>
      </c>
      <c r="H5" s="399" t="s">
        <v>75</v>
      </c>
      <c r="I5" s="21" t="s">
        <v>76</v>
      </c>
      <c r="J5" s="21" t="s">
        <v>75</v>
      </c>
      <c r="K5" s="400" t="s">
        <v>76</v>
      </c>
      <c r="L5" s="23" t="s">
        <v>75</v>
      </c>
      <c r="M5" s="21" t="s">
        <v>76</v>
      </c>
      <c r="N5" s="21" t="s">
        <v>75</v>
      </c>
      <c r="O5" s="19" t="s">
        <v>76</v>
      </c>
      <c r="P5" s="21" t="s">
        <v>75</v>
      </c>
      <c r="Q5" s="19" t="s">
        <v>76</v>
      </c>
      <c r="R5" s="508"/>
      <c r="S5" s="424"/>
      <c r="T5" s="427"/>
      <c r="U5" s="435"/>
      <c r="V5" s="438"/>
      <c r="W5" s="441"/>
      <c r="X5" s="441"/>
      <c r="Y5" s="441"/>
      <c r="Z5" s="441"/>
      <c r="AA5" s="441"/>
      <c r="AB5" s="441"/>
      <c r="AC5" s="517"/>
      <c r="AD5" s="514"/>
      <c r="AE5" s="511"/>
      <c r="AF5" s="514"/>
      <c r="AG5" s="467"/>
      <c r="AH5" s="467"/>
      <c r="AI5" s="467"/>
      <c r="AJ5" s="470"/>
      <c r="AK5" s="520"/>
      <c r="AL5" s="421"/>
      <c r="AM5" s="470"/>
      <c r="AN5" s="421"/>
      <c r="AO5" s="421"/>
      <c r="AP5" s="470"/>
      <c r="AQ5" s="473"/>
      <c r="AR5" s="461"/>
      <c r="AS5" s="13"/>
      <c r="AT5" s="464"/>
      <c r="AU5" s="448"/>
      <c r="AV5" s="448"/>
      <c r="AW5" s="448"/>
      <c r="AX5" s="448"/>
      <c r="AY5" s="448"/>
      <c r="AZ5" s="448"/>
      <c r="BA5" s="4"/>
      <c r="BB5" s="448"/>
      <c r="BC5" s="448"/>
      <c r="BD5" s="448"/>
      <c r="BE5" s="448"/>
      <c r="BF5" s="448"/>
      <c r="BG5" s="448"/>
      <c r="BH5" s="458"/>
      <c r="BI5" s="458"/>
      <c r="BJ5" s="17" t="s">
        <v>77</v>
      </c>
      <c r="BK5" s="450"/>
      <c r="BL5" s="450"/>
      <c r="BM5" s="450"/>
      <c r="BN5" s="458"/>
      <c r="BO5" s="458"/>
      <c r="BP5" s="448"/>
      <c r="BQ5" s="486"/>
      <c r="BR5" s="486"/>
      <c r="BS5" s="15"/>
      <c r="BT5" s="483"/>
      <c r="BU5" s="483"/>
      <c r="BV5" s="6"/>
      <c r="BW5" s="458"/>
      <c r="BX5" s="448"/>
      <c r="BY5" s="448"/>
      <c r="CA5" s="476"/>
      <c r="CB5" s="476"/>
      <c r="CD5" s="213" t="s">
        <v>126</v>
      </c>
      <c r="CE5" s="212" t="s">
        <v>127</v>
      </c>
      <c r="CF5" s="213" t="s">
        <v>126</v>
      </c>
      <c r="CG5" s="212" t="s">
        <v>127</v>
      </c>
    </row>
    <row r="6" spans="1:85" ht="12.75" customHeight="1">
      <c r="A6" s="451" t="s">
        <v>320</v>
      </c>
      <c r="B6" s="24">
        <v>43430</v>
      </c>
      <c r="C6" s="25">
        <v>66.900000000000006</v>
      </c>
      <c r="D6" s="26">
        <v>0.63600000000000001</v>
      </c>
      <c r="E6" s="38">
        <v>54.2</v>
      </c>
      <c r="F6" s="27">
        <v>84</v>
      </c>
      <c r="G6" s="27">
        <v>57</v>
      </c>
      <c r="H6" s="28">
        <v>0</v>
      </c>
      <c r="I6" s="28">
        <v>0</v>
      </c>
      <c r="J6" s="28">
        <v>0</v>
      </c>
      <c r="K6" s="28">
        <v>0</v>
      </c>
      <c r="L6" s="29">
        <v>0</v>
      </c>
      <c r="M6" s="29">
        <v>0</v>
      </c>
      <c r="N6" s="29">
        <v>0</v>
      </c>
      <c r="O6" s="29">
        <v>0</v>
      </c>
      <c r="P6" s="29">
        <v>0</v>
      </c>
      <c r="Q6" s="29">
        <v>0</v>
      </c>
      <c r="R6" s="29">
        <v>3687</v>
      </c>
      <c r="S6" s="30">
        <v>0</v>
      </c>
      <c r="T6" s="30">
        <v>0</v>
      </c>
      <c r="U6" s="31">
        <v>0</v>
      </c>
      <c r="V6" s="31">
        <v>0</v>
      </c>
      <c r="W6" s="28">
        <v>43</v>
      </c>
      <c r="X6" s="28">
        <v>1440</v>
      </c>
      <c r="Y6" s="28">
        <v>46</v>
      </c>
      <c r="Z6" s="28">
        <v>1440</v>
      </c>
      <c r="AA6" s="28">
        <v>60</v>
      </c>
      <c r="AB6" s="27">
        <v>1440</v>
      </c>
      <c r="AC6" s="32">
        <v>6</v>
      </c>
      <c r="AD6" s="33">
        <v>0</v>
      </c>
      <c r="AE6" s="27">
        <v>0</v>
      </c>
      <c r="AF6" s="34" t="s">
        <v>323</v>
      </c>
      <c r="AG6" s="35">
        <v>153.625</v>
      </c>
      <c r="AH6" s="34" t="s">
        <v>323</v>
      </c>
      <c r="AI6" s="226">
        <f t="shared" ref="AI6:AI15" si="0">IF(W6&gt;0,(1440-((W6*X6)+(Y6*Z6)+(AA6*AB6))/(W6+Y6+AA6))/1440, "no data")</f>
        <v>0</v>
      </c>
      <c r="AJ6" s="37" t="s">
        <v>323</v>
      </c>
      <c r="AK6" s="235">
        <v>0</v>
      </c>
      <c r="AL6" s="235">
        <v>0</v>
      </c>
      <c r="AM6" s="38">
        <v>0</v>
      </c>
      <c r="AN6" s="235">
        <v>0</v>
      </c>
      <c r="AO6" s="380">
        <v>0</v>
      </c>
      <c r="AP6" s="39">
        <v>0</v>
      </c>
      <c r="AQ6" s="201" t="s">
        <v>323</v>
      </c>
      <c r="AR6" s="198">
        <v>0</v>
      </c>
      <c r="AS6" s="13"/>
      <c r="AT6" s="27">
        <v>0</v>
      </c>
      <c r="AU6" s="40">
        <v>0</v>
      </c>
      <c r="AV6" s="40">
        <v>0</v>
      </c>
      <c r="AW6" s="27">
        <v>0</v>
      </c>
      <c r="AX6" s="40">
        <v>0</v>
      </c>
      <c r="AY6" s="27">
        <v>0</v>
      </c>
      <c r="AZ6" s="27">
        <v>6</v>
      </c>
      <c r="BA6" s="4"/>
      <c r="BB6" s="41">
        <v>0</v>
      </c>
      <c r="BC6" s="41">
        <v>0</v>
      </c>
      <c r="BD6" s="41">
        <v>0</v>
      </c>
      <c r="BE6" s="41">
        <v>0</v>
      </c>
      <c r="BF6" s="41" t="str">
        <f t="shared" ref="BF6:BF43" si="1">AQ6</f>
        <v>no data</v>
      </c>
      <c r="BG6" s="77">
        <f t="shared" ref="BG6:BG40" si="2">BD6/24</f>
        <v>0</v>
      </c>
      <c r="BH6" s="41">
        <v>0</v>
      </c>
      <c r="BI6" s="41">
        <v>0</v>
      </c>
      <c r="BJ6" s="41">
        <v>0</v>
      </c>
      <c r="BK6" s="41">
        <v>0</v>
      </c>
      <c r="BL6" s="41">
        <v>0</v>
      </c>
      <c r="BM6" s="41">
        <v>0</v>
      </c>
      <c r="BN6" s="47">
        <v>1004</v>
      </c>
      <c r="BO6" s="45">
        <v>0</v>
      </c>
      <c r="BP6" s="45">
        <v>0</v>
      </c>
      <c r="BQ6" s="45">
        <v>0</v>
      </c>
      <c r="BR6" s="45">
        <v>0</v>
      </c>
      <c r="BS6" s="49">
        <f t="shared" ref="BS6:BS40" si="3">BR6-BQ6</f>
        <v>0</v>
      </c>
      <c r="BT6" s="45">
        <v>0</v>
      </c>
      <c r="BU6" s="45">
        <v>0</v>
      </c>
      <c r="BV6" s="51">
        <f t="shared" ref="BV6:BV40" si="4">BU6-BT6</f>
        <v>0</v>
      </c>
      <c r="BW6" s="41">
        <f t="shared" ref="BW6:BW41" si="5">BH6+BI6</f>
        <v>0</v>
      </c>
      <c r="BX6" s="78">
        <v>0</v>
      </c>
      <c r="BY6" s="78">
        <v>0</v>
      </c>
      <c r="CA6" s="78">
        <v>0</v>
      </c>
      <c r="CB6" s="78">
        <v>0</v>
      </c>
      <c r="CD6" s="78">
        <v>0</v>
      </c>
      <c r="CE6" s="78">
        <v>0</v>
      </c>
      <c r="CF6" s="78">
        <v>0</v>
      </c>
      <c r="CG6" s="78">
        <v>0</v>
      </c>
    </row>
    <row r="7" spans="1:85">
      <c r="A7" s="452"/>
      <c r="B7" s="24">
        <v>43431</v>
      </c>
      <c r="C7" s="25">
        <v>68</v>
      </c>
      <c r="D7" s="26">
        <v>0.7</v>
      </c>
      <c r="E7" s="38">
        <v>59</v>
      </c>
      <c r="F7" s="27">
        <v>79</v>
      </c>
      <c r="G7" s="27">
        <v>58</v>
      </c>
      <c r="H7" s="28">
        <v>0</v>
      </c>
      <c r="I7" s="28">
        <v>0</v>
      </c>
      <c r="J7" s="28">
        <v>0</v>
      </c>
      <c r="K7" s="28">
        <v>0</v>
      </c>
      <c r="L7" s="29">
        <v>0</v>
      </c>
      <c r="M7" s="29">
        <v>0</v>
      </c>
      <c r="N7" s="29">
        <v>0</v>
      </c>
      <c r="O7" s="29">
        <v>0</v>
      </c>
      <c r="P7" s="29">
        <v>0</v>
      </c>
      <c r="Q7" s="29">
        <v>0</v>
      </c>
      <c r="R7" s="29">
        <v>3680</v>
      </c>
      <c r="S7" s="30">
        <v>0</v>
      </c>
      <c r="T7" s="30">
        <v>0</v>
      </c>
      <c r="U7" s="31">
        <v>0</v>
      </c>
      <c r="V7" s="31">
        <v>0</v>
      </c>
      <c r="W7" s="28">
        <v>43</v>
      </c>
      <c r="X7" s="28">
        <v>1440</v>
      </c>
      <c r="Y7" s="28">
        <v>46</v>
      </c>
      <c r="Z7" s="28">
        <v>1440</v>
      </c>
      <c r="AA7" s="28">
        <v>60</v>
      </c>
      <c r="AB7" s="27">
        <v>1440</v>
      </c>
      <c r="AC7" s="32">
        <v>5</v>
      </c>
      <c r="AD7" s="33">
        <v>0</v>
      </c>
      <c r="AE7" s="27">
        <v>0</v>
      </c>
      <c r="AF7" s="34" t="s">
        <v>323</v>
      </c>
      <c r="AG7" s="35">
        <v>153.33333333333334</v>
      </c>
      <c r="AH7" s="34" t="s">
        <v>323</v>
      </c>
      <c r="AI7" s="226">
        <f t="shared" si="0"/>
        <v>0</v>
      </c>
      <c r="AJ7" s="37" t="s">
        <v>323</v>
      </c>
      <c r="AK7" s="235">
        <v>0</v>
      </c>
      <c r="AL7" s="235">
        <v>0</v>
      </c>
      <c r="AM7" s="38">
        <v>0</v>
      </c>
      <c r="AN7" s="235">
        <v>0</v>
      </c>
      <c r="AO7" s="380">
        <v>0</v>
      </c>
      <c r="AP7" s="39">
        <v>0</v>
      </c>
      <c r="AQ7" s="201" t="s">
        <v>323</v>
      </c>
      <c r="AR7" s="198">
        <v>0</v>
      </c>
      <c r="AS7" s="13"/>
      <c r="AT7" s="27">
        <v>0</v>
      </c>
      <c r="AU7" s="40">
        <v>0</v>
      </c>
      <c r="AV7" s="40">
        <v>0</v>
      </c>
      <c r="AW7" s="27">
        <v>0</v>
      </c>
      <c r="AX7" s="40">
        <v>0</v>
      </c>
      <c r="AY7" s="27">
        <v>0</v>
      </c>
      <c r="AZ7" s="27">
        <v>5</v>
      </c>
      <c r="BA7" s="4"/>
      <c r="BB7" s="41">
        <v>0</v>
      </c>
      <c r="BC7" s="41">
        <v>0</v>
      </c>
      <c r="BD7" s="41">
        <v>0</v>
      </c>
      <c r="BE7" s="41">
        <v>0</v>
      </c>
      <c r="BF7" s="41" t="str">
        <f t="shared" si="1"/>
        <v>no data</v>
      </c>
      <c r="BG7" s="77">
        <f t="shared" si="2"/>
        <v>0</v>
      </c>
      <c r="BH7" s="41">
        <v>0</v>
      </c>
      <c r="BI7" s="41">
        <v>0</v>
      </c>
      <c r="BJ7" s="41">
        <v>0</v>
      </c>
      <c r="BK7" s="41">
        <v>0</v>
      </c>
      <c r="BL7" s="41">
        <v>0</v>
      </c>
      <c r="BM7" s="41">
        <v>0</v>
      </c>
      <c r="BN7" s="47">
        <v>1005</v>
      </c>
      <c r="BO7" s="45">
        <v>0</v>
      </c>
      <c r="BP7" s="45">
        <v>0</v>
      </c>
      <c r="BQ7" s="45">
        <v>0</v>
      </c>
      <c r="BR7" s="45">
        <v>0</v>
      </c>
      <c r="BS7" s="49">
        <f t="shared" si="3"/>
        <v>0</v>
      </c>
      <c r="BT7" s="45">
        <v>0</v>
      </c>
      <c r="BU7" s="45">
        <v>0</v>
      </c>
      <c r="BV7" s="51">
        <f t="shared" si="4"/>
        <v>0</v>
      </c>
      <c r="BW7" s="41">
        <f t="shared" si="5"/>
        <v>0</v>
      </c>
      <c r="BX7" s="78">
        <v>0</v>
      </c>
      <c r="BY7" s="78">
        <v>0</v>
      </c>
      <c r="CA7" s="78">
        <v>0</v>
      </c>
      <c r="CB7" s="78">
        <v>0</v>
      </c>
      <c r="CD7" s="78">
        <v>0</v>
      </c>
      <c r="CE7" s="78">
        <v>0</v>
      </c>
      <c r="CF7" s="78">
        <v>0</v>
      </c>
      <c r="CG7" s="78">
        <v>0</v>
      </c>
    </row>
    <row r="8" spans="1:85">
      <c r="A8" s="452"/>
      <c r="B8" s="24">
        <v>43432</v>
      </c>
      <c r="C8" s="25">
        <v>68</v>
      </c>
      <c r="D8" s="26">
        <v>0.65</v>
      </c>
      <c r="E8" s="38">
        <v>58</v>
      </c>
      <c r="F8" s="27">
        <v>86</v>
      </c>
      <c r="G8" s="27">
        <v>58</v>
      </c>
      <c r="H8" s="28">
        <v>0</v>
      </c>
      <c r="I8" s="28">
        <v>0</v>
      </c>
      <c r="J8" s="28">
        <v>0</v>
      </c>
      <c r="K8" s="28">
        <v>0</v>
      </c>
      <c r="L8" s="29">
        <v>0</v>
      </c>
      <c r="M8" s="29">
        <v>0</v>
      </c>
      <c r="N8" s="29">
        <v>0</v>
      </c>
      <c r="O8" s="29">
        <v>0</v>
      </c>
      <c r="P8" s="29">
        <v>0</v>
      </c>
      <c r="Q8" s="29">
        <v>0</v>
      </c>
      <c r="R8" s="29">
        <v>3680</v>
      </c>
      <c r="S8" s="30">
        <v>0</v>
      </c>
      <c r="T8" s="30">
        <v>0</v>
      </c>
      <c r="U8" s="31">
        <v>0</v>
      </c>
      <c r="V8" s="31">
        <v>0</v>
      </c>
      <c r="W8" s="28">
        <v>43</v>
      </c>
      <c r="X8" s="28">
        <v>1440</v>
      </c>
      <c r="Y8" s="28">
        <v>46</v>
      </c>
      <c r="Z8" s="28">
        <v>1440</v>
      </c>
      <c r="AA8" s="28">
        <v>60</v>
      </c>
      <c r="AB8" s="27">
        <v>1440</v>
      </c>
      <c r="AC8" s="32">
        <v>7</v>
      </c>
      <c r="AD8" s="33">
        <v>0</v>
      </c>
      <c r="AE8" s="27">
        <v>0</v>
      </c>
      <c r="AF8" s="34" t="s">
        <v>323</v>
      </c>
      <c r="AG8" s="35">
        <v>153.33333333333334</v>
      </c>
      <c r="AH8" s="34" t="s">
        <v>323</v>
      </c>
      <c r="AI8" s="226">
        <f t="shared" si="0"/>
        <v>0</v>
      </c>
      <c r="AJ8" s="37" t="s">
        <v>323</v>
      </c>
      <c r="AK8" s="235">
        <v>0</v>
      </c>
      <c r="AL8" s="235">
        <v>0</v>
      </c>
      <c r="AM8" s="38">
        <v>0</v>
      </c>
      <c r="AN8" s="235">
        <v>0</v>
      </c>
      <c r="AO8" s="380">
        <v>0</v>
      </c>
      <c r="AP8" s="39">
        <v>0</v>
      </c>
      <c r="AQ8" s="201" t="s">
        <v>323</v>
      </c>
      <c r="AR8" s="198">
        <v>0</v>
      </c>
      <c r="AS8" s="13"/>
      <c r="AT8" s="27">
        <v>0</v>
      </c>
      <c r="AU8" s="40">
        <v>0</v>
      </c>
      <c r="AV8" s="40">
        <v>0</v>
      </c>
      <c r="AW8" s="27">
        <v>0</v>
      </c>
      <c r="AX8" s="40">
        <v>0</v>
      </c>
      <c r="AY8" s="27">
        <v>0</v>
      </c>
      <c r="AZ8" s="27">
        <v>7</v>
      </c>
      <c r="BA8" s="4"/>
      <c r="BB8" s="41">
        <v>0</v>
      </c>
      <c r="BC8" s="41">
        <v>0</v>
      </c>
      <c r="BD8" s="41">
        <v>0</v>
      </c>
      <c r="BE8" s="41">
        <v>0</v>
      </c>
      <c r="BF8" s="41" t="str">
        <f t="shared" si="1"/>
        <v>no data</v>
      </c>
      <c r="BG8" s="77">
        <f t="shared" si="2"/>
        <v>0</v>
      </c>
      <c r="BH8" s="41">
        <v>0</v>
      </c>
      <c r="BI8" s="41">
        <v>0</v>
      </c>
      <c r="BJ8" s="41">
        <v>0</v>
      </c>
      <c r="BK8" s="41">
        <v>0</v>
      </c>
      <c r="BL8" s="41">
        <v>0</v>
      </c>
      <c r="BM8" s="41">
        <v>0</v>
      </c>
      <c r="BN8" s="47">
        <v>1006</v>
      </c>
      <c r="BO8" s="45">
        <v>0</v>
      </c>
      <c r="BP8" s="45">
        <v>0</v>
      </c>
      <c r="BQ8" s="45">
        <v>0</v>
      </c>
      <c r="BR8" s="45">
        <v>0</v>
      </c>
      <c r="BS8" s="49">
        <f t="shared" si="3"/>
        <v>0</v>
      </c>
      <c r="BT8" s="45">
        <v>0</v>
      </c>
      <c r="BU8" s="45">
        <v>0</v>
      </c>
      <c r="BV8" s="51">
        <f t="shared" si="4"/>
        <v>0</v>
      </c>
      <c r="BW8" s="41">
        <f t="shared" si="5"/>
        <v>0</v>
      </c>
      <c r="BX8" s="78">
        <v>0</v>
      </c>
      <c r="BY8" s="78">
        <v>0</v>
      </c>
      <c r="CA8" s="78">
        <v>0</v>
      </c>
      <c r="CB8" s="78">
        <v>0</v>
      </c>
      <c r="CD8" s="78">
        <v>0</v>
      </c>
      <c r="CE8" s="78">
        <v>0</v>
      </c>
      <c r="CF8" s="78">
        <v>0</v>
      </c>
      <c r="CG8" s="78">
        <v>0</v>
      </c>
    </row>
    <row r="9" spans="1:85">
      <c r="A9" s="452"/>
      <c r="B9" s="24">
        <v>43433</v>
      </c>
      <c r="C9" s="25">
        <v>67.3</v>
      </c>
      <c r="D9" s="26">
        <v>0.67600000000000005</v>
      </c>
      <c r="E9" s="38">
        <v>57.8</v>
      </c>
      <c r="F9" s="27">
        <v>82</v>
      </c>
      <c r="G9" s="27">
        <v>42</v>
      </c>
      <c r="H9" s="28">
        <v>0</v>
      </c>
      <c r="I9" s="28">
        <v>0</v>
      </c>
      <c r="J9" s="28">
        <v>0</v>
      </c>
      <c r="K9" s="28">
        <v>0</v>
      </c>
      <c r="L9" s="29">
        <v>0</v>
      </c>
      <c r="M9" s="29">
        <v>0</v>
      </c>
      <c r="N9" s="29">
        <v>0</v>
      </c>
      <c r="O9" s="29">
        <v>0</v>
      </c>
      <c r="P9" s="29">
        <v>0</v>
      </c>
      <c r="Q9" s="29">
        <v>0</v>
      </c>
      <c r="R9" s="29">
        <v>3691</v>
      </c>
      <c r="S9" s="30">
        <v>0</v>
      </c>
      <c r="T9" s="30">
        <v>0</v>
      </c>
      <c r="U9" s="31">
        <v>0</v>
      </c>
      <c r="V9" s="31">
        <v>0</v>
      </c>
      <c r="W9" s="28">
        <v>43</v>
      </c>
      <c r="X9" s="28">
        <v>1440</v>
      </c>
      <c r="Y9" s="28">
        <v>46</v>
      </c>
      <c r="Z9" s="28">
        <v>1440</v>
      </c>
      <c r="AA9" s="28">
        <v>60</v>
      </c>
      <c r="AB9" s="27">
        <v>1440</v>
      </c>
      <c r="AC9" s="32">
        <v>4</v>
      </c>
      <c r="AD9" s="33">
        <v>0</v>
      </c>
      <c r="AE9" s="27">
        <v>0</v>
      </c>
      <c r="AF9" s="34" t="s">
        <v>323</v>
      </c>
      <c r="AG9" s="35">
        <v>153.79166666666666</v>
      </c>
      <c r="AH9" s="34" t="s">
        <v>323</v>
      </c>
      <c r="AI9" s="226">
        <f t="shared" si="0"/>
        <v>0</v>
      </c>
      <c r="AJ9" s="37" t="s">
        <v>323</v>
      </c>
      <c r="AK9" s="235">
        <v>0</v>
      </c>
      <c r="AL9" s="235">
        <v>0</v>
      </c>
      <c r="AM9" s="38">
        <v>0</v>
      </c>
      <c r="AN9" s="235">
        <v>0</v>
      </c>
      <c r="AO9" s="380">
        <v>0</v>
      </c>
      <c r="AP9" s="39">
        <v>0</v>
      </c>
      <c r="AQ9" s="201" t="s">
        <v>323</v>
      </c>
      <c r="AR9" s="198">
        <v>0</v>
      </c>
      <c r="AS9" s="13"/>
      <c r="AT9" s="27">
        <v>0</v>
      </c>
      <c r="AU9" s="40">
        <v>0</v>
      </c>
      <c r="AV9" s="40">
        <v>0</v>
      </c>
      <c r="AW9" s="27">
        <v>0</v>
      </c>
      <c r="AX9" s="40">
        <v>0</v>
      </c>
      <c r="AY9" s="27">
        <v>0</v>
      </c>
      <c r="AZ9" s="27">
        <v>4</v>
      </c>
      <c r="BA9" s="4"/>
      <c r="BB9" s="41">
        <v>0</v>
      </c>
      <c r="BC9" s="41">
        <v>0</v>
      </c>
      <c r="BD9" s="41">
        <v>0</v>
      </c>
      <c r="BE9" s="41">
        <v>0</v>
      </c>
      <c r="BF9" s="41" t="str">
        <f t="shared" si="1"/>
        <v>no data</v>
      </c>
      <c r="BG9" s="77">
        <f t="shared" si="2"/>
        <v>0</v>
      </c>
      <c r="BH9" s="41">
        <v>0</v>
      </c>
      <c r="BI9" s="41">
        <v>0</v>
      </c>
      <c r="BJ9" s="41">
        <v>0</v>
      </c>
      <c r="BK9" s="41">
        <v>0</v>
      </c>
      <c r="BL9" s="41">
        <v>0</v>
      </c>
      <c r="BM9" s="41">
        <v>0</v>
      </c>
      <c r="BN9" s="47">
        <v>1006</v>
      </c>
      <c r="BO9" s="45">
        <v>0</v>
      </c>
      <c r="BP9" s="45">
        <v>0</v>
      </c>
      <c r="BQ9" s="45">
        <v>0</v>
      </c>
      <c r="BR9" s="45">
        <v>0</v>
      </c>
      <c r="BS9" s="49">
        <f t="shared" si="3"/>
        <v>0</v>
      </c>
      <c r="BT9" s="41">
        <v>0</v>
      </c>
      <c r="BU9" s="41">
        <v>0</v>
      </c>
      <c r="BV9" s="51">
        <f t="shared" si="4"/>
        <v>0</v>
      </c>
      <c r="BW9" s="41">
        <f t="shared" si="5"/>
        <v>0</v>
      </c>
      <c r="BX9" s="78">
        <v>0</v>
      </c>
      <c r="BY9" s="78">
        <v>0</v>
      </c>
      <c r="CA9" s="78">
        <v>0</v>
      </c>
      <c r="CB9" s="78">
        <v>0</v>
      </c>
      <c r="CD9" s="78">
        <v>0</v>
      </c>
      <c r="CE9" s="78">
        <v>0</v>
      </c>
      <c r="CF9" s="78">
        <v>0</v>
      </c>
      <c r="CG9" s="78">
        <v>0</v>
      </c>
    </row>
    <row r="10" spans="1:85">
      <c r="A10" s="452"/>
      <c r="B10" s="24">
        <v>43434</v>
      </c>
      <c r="C10" s="25">
        <v>67.3</v>
      </c>
      <c r="D10" s="26">
        <v>0.67600000000000005</v>
      </c>
      <c r="E10" s="38">
        <v>57.8</v>
      </c>
      <c r="F10" s="27">
        <v>82</v>
      </c>
      <c r="G10" s="27">
        <v>58</v>
      </c>
      <c r="H10" s="28">
        <v>0</v>
      </c>
      <c r="I10" s="28">
        <v>0</v>
      </c>
      <c r="J10" s="28">
        <v>0</v>
      </c>
      <c r="K10" s="28">
        <v>0</v>
      </c>
      <c r="L10" s="29">
        <v>0</v>
      </c>
      <c r="M10" s="29">
        <v>0</v>
      </c>
      <c r="N10" s="29">
        <v>0</v>
      </c>
      <c r="O10" s="29">
        <v>0</v>
      </c>
      <c r="P10" s="29">
        <v>0</v>
      </c>
      <c r="Q10" s="29">
        <v>0</v>
      </c>
      <c r="R10" s="29">
        <v>3691</v>
      </c>
      <c r="S10" s="30">
        <v>0</v>
      </c>
      <c r="T10" s="30">
        <v>0</v>
      </c>
      <c r="U10" s="31">
        <v>0</v>
      </c>
      <c r="V10" s="31">
        <v>0</v>
      </c>
      <c r="W10" s="28">
        <v>43</v>
      </c>
      <c r="X10" s="28">
        <v>1440</v>
      </c>
      <c r="Y10" s="28">
        <v>46</v>
      </c>
      <c r="Z10" s="28">
        <v>1440</v>
      </c>
      <c r="AA10" s="28">
        <v>60</v>
      </c>
      <c r="AB10" s="27">
        <v>1440</v>
      </c>
      <c r="AC10" s="32">
        <v>5</v>
      </c>
      <c r="AD10" s="33">
        <v>0</v>
      </c>
      <c r="AE10" s="27">
        <v>0</v>
      </c>
      <c r="AF10" s="34" t="s">
        <v>323</v>
      </c>
      <c r="AG10" s="35">
        <v>153.79166666666666</v>
      </c>
      <c r="AH10" s="34" t="s">
        <v>323</v>
      </c>
      <c r="AI10" s="226">
        <f t="shared" si="0"/>
        <v>0</v>
      </c>
      <c r="AJ10" s="37" t="s">
        <v>323</v>
      </c>
      <c r="AK10" s="235">
        <v>0</v>
      </c>
      <c r="AL10" s="235">
        <v>0</v>
      </c>
      <c r="AM10" s="38">
        <v>0</v>
      </c>
      <c r="AN10" s="235">
        <v>0</v>
      </c>
      <c r="AO10" s="380">
        <v>0</v>
      </c>
      <c r="AP10" s="39">
        <v>0</v>
      </c>
      <c r="AQ10" s="201" t="s">
        <v>323</v>
      </c>
      <c r="AR10" s="198">
        <v>0</v>
      </c>
      <c r="AS10" s="13"/>
      <c r="AT10" s="27">
        <v>0</v>
      </c>
      <c r="AU10" s="40">
        <v>0</v>
      </c>
      <c r="AV10" s="40">
        <v>0</v>
      </c>
      <c r="AW10" s="27">
        <v>0</v>
      </c>
      <c r="AX10" s="40">
        <v>0</v>
      </c>
      <c r="AY10" s="27">
        <v>0</v>
      </c>
      <c r="AZ10" s="27">
        <v>5</v>
      </c>
      <c r="BA10" s="4"/>
      <c r="BB10" s="41">
        <v>0</v>
      </c>
      <c r="BC10" s="41">
        <v>0</v>
      </c>
      <c r="BD10" s="41">
        <v>0</v>
      </c>
      <c r="BE10" s="41">
        <v>0</v>
      </c>
      <c r="BF10" s="41" t="str">
        <f t="shared" si="1"/>
        <v>no data</v>
      </c>
      <c r="BG10" s="77">
        <f t="shared" si="2"/>
        <v>0</v>
      </c>
      <c r="BH10" s="41">
        <v>0</v>
      </c>
      <c r="BI10" s="41">
        <v>0</v>
      </c>
      <c r="BJ10" s="41">
        <v>0</v>
      </c>
      <c r="BK10" s="41">
        <v>0</v>
      </c>
      <c r="BL10" s="41">
        <v>0</v>
      </c>
      <c r="BM10" s="41">
        <v>0</v>
      </c>
      <c r="BN10" s="47">
        <v>1005</v>
      </c>
      <c r="BO10" s="45">
        <v>0</v>
      </c>
      <c r="BP10" s="45">
        <v>0</v>
      </c>
      <c r="BQ10" s="45">
        <v>0</v>
      </c>
      <c r="BR10" s="45">
        <v>0</v>
      </c>
      <c r="BS10" s="49">
        <f t="shared" si="3"/>
        <v>0</v>
      </c>
      <c r="BT10" s="41">
        <v>0</v>
      </c>
      <c r="BU10" s="41">
        <v>0</v>
      </c>
      <c r="BV10" s="51">
        <f t="shared" si="4"/>
        <v>0</v>
      </c>
      <c r="BW10" s="41">
        <f t="shared" si="5"/>
        <v>0</v>
      </c>
      <c r="BX10" s="42">
        <v>0</v>
      </c>
      <c r="BY10" s="42">
        <v>0</v>
      </c>
      <c r="CA10" s="78">
        <v>0</v>
      </c>
      <c r="CB10" s="78">
        <v>0</v>
      </c>
      <c r="CD10" s="78">
        <v>0</v>
      </c>
      <c r="CE10" s="78">
        <v>0</v>
      </c>
      <c r="CF10" s="78">
        <v>0</v>
      </c>
      <c r="CG10" s="78">
        <v>0</v>
      </c>
    </row>
    <row r="11" spans="1:85">
      <c r="A11" s="452"/>
      <c r="B11" s="24">
        <v>43435</v>
      </c>
      <c r="C11" s="25">
        <v>65.2</v>
      </c>
      <c r="D11" s="26">
        <v>0.66200000000000003</v>
      </c>
      <c r="E11" s="38">
        <v>54.9</v>
      </c>
      <c r="F11" s="27">
        <v>89</v>
      </c>
      <c r="G11" s="27">
        <v>50</v>
      </c>
      <c r="H11" s="28">
        <v>0</v>
      </c>
      <c r="I11" s="28">
        <v>0</v>
      </c>
      <c r="J11" s="28">
        <v>0</v>
      </c>
      <c r="K11" s="28">
        <v>0</v>
      </c>
      <c r="L11" s="29">
        <v>0</v>
      </c>
      <c r="M11" s="29">
        <v>0</v>
      </c>
      <c r="N11" s="29">
        <v>0</v>
      </c>
      <c r="O11" s="29">
        <v>0</v>
      </c>
      <c r="P11" s="29">
        <v>0</v>
      </c>
      <c r="Q11" s="29">
        <v>0</v>
      </c>
      <c r="R11" s="29">
        <v>3696</v>
      </c>
      <c r="S11" s="30">
        <v>0</v>
      </c>
      <c r="T11" s="30">
        <v>0</v>
      </c>
      <c r="U11" s="31">
        <v>0</v>
      </c>
      <c r="V11" s="31">
        <v>0</v>
      </c>
      <c r="W11" s="28">
        <v>43</v>
      </c>
      <c r="X11" s="28">
        <v>1440</v>
      </c>
      <c r="Y11" s="28">
        <v>46</v>
      </c>
      <c r="Z11" s="28">
        <v>1440</v>
      </c>
      <c r="AA11" s="28">
        <v>60</v>
      </c>
      <c r="AB11" s="27">
        <v>1440</v>
      </c>
      <c r="AC11" s="32">
        <v>5</v>
      </c>
      <c r="AD11" s="33">
        <f>U11-T11</f>
        <v>0</v>
      </c>
      <c r="AE11" s="27">
        <v>0</v>
      </c>
      <c r="AF11" s="34" t="str">
        <f>IF(AE11&gt;0, V11/(AE11*24),"no data")</f>
        <v>no data</v>
      </c>
      <c r="AG11" s="35">
        <f>IF(R11&gt;0,R11/24,"no data")</f>
        <v>154</v>
      </c>
      <c r="AH11" s="34" t="str">
        <f>IF(U11&gt;0,(U11/R11),"no data")</f>
        <v>no data</v>
      </c>
      <c r="AI11" s="226">
        <f t="shared" si="0"/>
        <v>0</v>
      </c>
      <c r="AJ11" s="37" t="str">
        <f>IF(U11&gt;0,(1440-((X11*W11+AT11*AU11)+(Z11*Y11+AV11*AW11)+(AA11*AB11+AX11*AY11))/(W11+Y11+AA11))/1440,"no data")</f>
        <v>no data</v>
      </c>
      <c r="AK11" s="235">
        <v>0</v>
      </c>
      <c r="AL11" s="238">
        <v>0</v>
      </c>
      <c r="AM11" s="38">
        <f t="shared" ref="AM11:AM41" si="6">AK11*AL11</f>
        <v>0</v>
      </c>
      <c r="AN11" s="235">
        <v>0</v>
      </c>
      <c r="AO11" s="330">
        <v>0</v>
      </c>
      <c r="AP11" s="39">
        <f t="shared" ref="AP11:AP41" si="7">AN11*AO11</f>
        <v>0</v>
      </c>
      <c r="AQ11" s="201" t="str">
        <f t="shared" ref="AQ11:AQ41" si="8">IF(U11&gt;0,((((AK11*AL11)+(AN11*AO11))/(U11*1000))*1000000),"no data")</f>
        <v>no data</v>
      </c>
      <c r="AR11" s="198">
        <f>S11/24</f>
        <v>0</v>
      </c>
      <c r="AS11" s="13"/>
      <c r="AT11" s="27">
        <v>0</v>
      </c>
      <c r="AU11" s="40">
        <v>0</v>
      </c>
      <c r="AV11" s="40">
        <v>0</v>
      </c>
      <c r="AW11" s="27">
        <v>0</v>
      </c>
      <c r="AX11" s="40">
        <v>0</v>
      </c>
      <c r="AY11" s="27">
        <v>0</v>
      </c>
      <c r="AZ11" s="27">
        <v>5</v>
      </c>
      <c r="BA11" s="4"/>
      <c r="BB11" s="41">
        <v>0</v>
      </c>
      <c r="BC11" s="41">
        <v>0</v>
      </c>
      <c r="BD11" s="41">
        <v>0</v>
      </c>
      <c r="BE11" s="41">
        <f>BC11-BB11</f>
        <v>0</v>
      </c>
      <c r="BF11" s="41" t="str">
        <f t="shared" si="1"/>
        <v>no data</v>
      </c>
      <c r="BG11" s="77">
        <f t="shared" si="2"/>
        <v>0</v>
      </c>
      <c r="BH11" s="43">
        <v>0</v>
      </c>
      <c r="BI11" s="44">
        <v>0</v>
      </c>
      <c r="BJ11" s="45">
        <v>0</v>
      </c>
      <c r="BK11" s="46">
        <v>0</v>
      </c>
      <c r="BL11" s="47">
        <v>0</v>
      </c>
      <c r="BM11" s="47">
        <v>0</v>
      </c>
      <c r="BN11" s="47">
        <v>1006</v>
      </c>
      <c r="BO11" s="45">
        <v>0</v>
      </c>
      <c r="BP11" s="48">
        <v>0</v>
      </c>
      <c r="BQ11" s="42">
        <v>0</v>
      </c>
      <c r="BR11" s="42">
        <v>0</v>
      </c>
      <c r="BS11" s="49">
        <f t="shared" si="3"/>
        <v>0</v>
      </c>
      <c r="BT11" s="41">
        <v>0</v>
      </c>
      <c r="BU11" s="41">
        <v>0</v>
      </c>
      <c r="BV11" s="51">
        <f t="shared" si="4"/>
        <v>0</v>
      </c>
      <c r="BW11" s="41">
        <f t="shared" si="5"/>
        <v>0</v>
      </c>
      <c r="BX11" s="41">
        <v>0</v>
      </c>
      <c r="BY11" s="41">
        <v>0</v>
      </c>
      <c r="CA11" s="41">
        <v>0</v>
      </c>
      <c r="CB11" s="41">
        <v>0</v>
      </c>
      <c r="CD11" s="41">
        <v>0</v>
      </c>
      <c r="CE11" s="41">
        <v>0</v>
      </c>
      <c r="CF11" s="41">
        <v>0</v>
      </c>
      <c r="CG11" s="41">
        <v>0</v>
      </c>
    </row>
    <row r="12" spans="1:85">
      <c r="A12" s="453"/>
      <c r="B12" s="24">
        <v>43436</v>
      </c>
      <c r="C12" s="25">
        <v>66.099999999999994</v>
      </c>
      <c r="D12" s="26">
        <v>0.57999999999999996</v>
      </c>
      <c r="E12" s="38">
        <v>53.4</v>
      </c>
      <c r="F12" s="27">
        <v>87</v>
      </c>
      <c r="G12" s="27">
        <v>56</v>
      </c>
      <c r="H12" s="28">
        <v>0</v>
      </c>
      <c r="I12" s="28">
        <v>0</v>
      </c>
      <c r="J12" s="28">
        <v>0</v>
      </c>
      <c r="K12" s="28">
        <v>0</v>
      </c>
      <c r="L12" s="29">
        <v>0</v>
      </c>
      <c r="M12" s="29">
        <v>0</v>
      </c>
      <c r="N12" s="29">
        <v>0</v>
      </c>
      <c r="O12" s="29">
        <v>0</v>
      </c>
      <c r="P12" s="29">
        <v>0</v>
      </c>
      <c r="Q12" s="29">
        <v>0</v>
      </c>
      <c r="R12" s="29">
        <v>3691</v>
      </c>
      <c r="S12" s="30">
        <v>0</v>
      </c>
      <c r="T12" s="30">
        <v>0</v>
      </c>
      <c r="U12" s="31">
        <v>0</v>
      </c>
      <c r="V12" s="31">
        <v>0</v>
      </c>
      <c r="W12" s="28">
        <v>43</v>
      </c>
      <c r="X12" s="28">
        <v>1440</v>
      </c>
      <c r="Y12" s="28">
        <v>46</v>
      </c>
      <c r="Z12" s="28">
        <v>1440</v>
      </c>
      <c r="AA12" s="28">
        <v>60</v>
      </c>
      <c r="AB12" s="27">
        <v>1440</v>
      </c>
      <c r="AC12" s="32">
        <v>5</v>
      </c>
      <c r="AD12" s="33">
        <v>0</v>
      </c>
      <c r="AE12" s="27">
        <v>0</v>
      </c>
      <c r="AF12" s="34" t="str">
        <f>IF(AE12&gt;0, V12/(AE12*24),"no data")</f>
        <v>no data</v>
      </c>
      <c r="AG12" s="35">
        <f>IF(R12&gt;0,R12/24,"no data")</f>
        <v>153.79166666666666</v>
      </c>
      <c r="AH12" s="34" t="str">
        <f>IF(U12&gt;0,(U12/R12),"no data")</f>
        <v>no data</v>
      </c>
      <c r="AI12" s="226">
        <f t="shared" si="0"/>
        <v>0</v>
      </c>
      <c r="AJ12" s="37" t="str">
        <f>IF(U12&gt;0,(1440-((X12*W12+AT12*AU12)+(Z12*Y12+AV12*AW12)+(AA12*AB12+AX12*AY12))/(W12+Y12+AA12))/1440,"no data")</f>
        <v>no data</v>
      </c>
      <c r="AK12" s="235">
        <v>0</v>
      </c>
      <c r="AL12" s="238">
        <v>0</v>
      </c>
      <c r="AM12" s="38">
        <f t="shared" si="6"/>
        <v>0</v>
      </c>
      <c r="AN12" s="235">
        <v>0</v>
      </c>
      <c r="AO12" s="330">
        <v>0</v>
      </c>
      <c r="AP12" s="39">
        <f t="shared" si="7"/>
        <v>0</v>
      </c>
      <c r="AQ12" s="201" t="str">
        <f t="shared" si="8"/>
        <v>no data</v>
      </c>
      <c r="AR12" s="198">
        <v>0</v>
      </c>
      <c r="AS12" s="13"/>
      <c r="AT12" s="27">
        <v>0</v>
      </c>
      <c r="AU12" s="40">
        <v>0</v>
      </c>
      <c r="AV12" s="40">
        <v>0</v>
      </c>
      <c r="AW12" s="27">
        <v>0</v>
      </c>
      <c r="AX12" s="40">
        <v>0</v>
      </c>
      <c r="AY12" s="27">
        <v>0</v>
      </c>
      <c r="AZ12" s="27">
        <v>5</v>
      </c>
      <c r="BA12" s="4"/>
      <c r="BB12" s="41">
        <v>0</v>
      </c>
      <c r="BC12" s="41">
        <v>0</v>
      </c>
      <c r="BD12" s="41">
        <v>0</v>
      </c>
      <c r="BE12" s="41">
        <v>0</v>
      </c>
      <c r="BF12" s="41" t="str">
        <f t="shared" si="1"/>
        <v>no data</v>
      </c>
      <c r="BG12" s="77">
        <f t="shared" si="2"/>
        <v>0</v>
      </c>
      <c r="BH12" s="43">
        <v>0</v>
      </c>
      <c r="BI12" s="44">
        <v>0</v>
      </c>
      <c r="BJ12" s="45">
        <v>0</v>
      </c>
      <c r="BK12" s="46">
        <v>0</v>
      </c>
      <c r="BL12" s="47">
        <v>0</v>
      </c>
      <c r="BM12" s="47">
        <v>0</v>
      </c>
      <c r="BN12" s="47">
        <v>1005</v>
      </c>
      <c r="BO12" s="45">
        <v>0</v>
      </c>
      <c r="BP12" s="48">
        <v>0</v>
      </c>
      <c r="BQ12" s="42">
        <v>0</v>
      </c>
      <c r="BR12" s="42">
        <v>0</v>
      </c>
      <c r="BS12" s="49">
        <f t="shared" si="3"/>
        <v>0</v>
      </c>
      <c r="BT12" s="41">
        <v>0</v>
      </c>
      <c r="BU12" s="41">
        <v>0</v>
      </c>
      <c r="BV12" s="51">
        <f t="shared" si="4"/>
        <v>0</v>
      </c>
      <c r="BW12" s="41">
        <f t="shared" si="5"/>
        <v>0</v>
      </c>
      <c r="BX12" s="78">
        <v>0</v>
      </c>
      <c r="BY12" s="78">
        <v>0</v>
      </c>
      <c r="CA12" s="78">
        <v>0</v>
      </c>
      <c r="CB12" s="78">
        <v>0</v>
      </c>
      <c r="CD12" s="78">
        <v>0</v>
      </c>
      <c r="CE12" s="78">
        <v>0</v>
      </c>
      <c r="CF12" s="78">
        <v>0</v>
      </c>
      <c r="CG12" s="78">
        <v>0</v>
      </c>
    </row>
    <row r="13" spans="1:85" ht="15" customHeight="1">
      <c r="A13" s="451" t="s">
        <v>324</v>
      </c>
      <c r="B13" s="24">
        <v>43437</v>
      </c>
      <c r="C13" s="157">
        <v>66</v>
      </c>
      <c r="D13" s="158">
        <v>0.60699999999999998</v>
      </c>
      <c r="E13" s="171">
        <v>54.7</v>
      </c>
      <c r="F13" s="159">
        <v>86</v>
      </c>
      <c r="G13" s="159">
        <v>57</v>
      </c>
      <c r="H13" s="160">
        <v>0</v>
      </c>
      <c r="I13" s="160">
        <v>0</v>
      </c>
      <c r="J13" s="160">
        <v>0</v>
      </c>
      <c r="K13" s="160">
        <v>0</v>
      </c>
      <c r="L13" s="161">
        <v>0</v>
      </c>
      <c r="M13" s="161">
        <v>0</v>
      </c>
      <c r="N13" s="161">
        <v>0</v>
      </c>
      <c r="O13" s="161">
        <v>0</v>
      </c>
      <c r="P13" s="161">
        <v>0</v>
      </c>
      <c r="Q13" s="161">
        <v>0</v>
      </c>
      <c r="R13" s="162">
        <v>3694</v>
      </c>
      <c r="S13" s="163">
        <v>0</v>
      </c>
      <c r="T13" s="163">
        <v>0</v>
      </c>
      <c r="U13" s="164">
        <v>0</v>
      </c>
      <c r="V13" s="164">
        <v>0</v>
      </c>
      <c r="W13" s="159">
        <v>43</v>
      </c>
      <c r="X13" s="159">
        <v>1440</v>
      </c>
      <c r="Y13" s="159">
        <v>46</v>
      </c>
      <c r="Z13" s="159">
        <v>1440</v>
      </c>
      <c r="AA13" s="159">
        <v>60</v>
      </c>
      <c r="AB13" s="159">
        <v>1440</v>
      </c>
      <c r="AC13" s="165">
        <v>8</v>
      </c>
      <c r="AD13" s="166">
        <v>0</v>
      </c>
      <c r="AE13" s="159">
        <v>0</v>
      </c>
      <c r="AF13" s="402" t="str">
        <f>IF(AE13&gt;0, V13/(AE13*24),"no data")</f>
        <v>no data</v>
      </c>
      <c r="AG13" s="405">
        <f>IF(R13&gt;0,R13/24,"no data")</f>
        <v>153.91666666666666</v>
      </c>
      <c r="AH13" s="402" t="str">
        <f>IF(U13&gt;0,(U13/R13),"no data")</f>
        <v>no data</v>
      </c>
      <c r="AI13" s="406">
        <f t="shared" si="0"/>
        <v>0</v>
      </c>
      <c r="AJ13" s="403" t="str">
        <f>IF(U13&gt;0,(1440-((X13*W13+AT13*AU13)+(Z13*Y13+AV13*AW13)+(AA13*AB13+AX13*AY13))/(W13+Y13+AA13))/1440,"no data")</f>
        <v>no data</v>
      </c>
      <c r="AK13" s="235">
        <v>0</v>
      </c>
      <c r="AL13" s="239">
        <v>0</v>
      </c>
      <c r="AM13" s="368">
        <f t="shared" si="6"/>
        <v>0</v>
      </c>
      <c r="AN13" s="235">
        <v>0</v>
      </c>
      <c r="AO13" s="330">
        <v>990</v>
      </c>
      <c r="AP13" s="172">
        <f t="shared" si="7"/>
        <v>0</v>
      </c>
      <c r="AQ13" s="202" t="str">
        <f t="shared" si="8"/>
        <v>no data</v>
      </c>
      <c r="AR13" s="199">
        <v>0</v>
      </c>
      <c r="AS13" s="13"/>
      <c r="AT13" s="173">
        <v>0</v>
      </c>
      <c r="AU13" s="159">
        <v>0</v>
      </c>
      <c r="AV13" s="174">
        <v>0</v>
      </c>
      <c r="AW13" s="174">
        <v>0</v>
      </c>
      <c r="AX13" s="159">
        <v>0</v>
      </c>
      <c r="AY13" s="174">
        <v>0</v>
      </c>
      <c r="AZ13" s="159">
        <v>8</v>
      </c>
      <c r="BA13" s="4"/>
      <c r="BB13" s="159">
        <v>0</v>
      </c>
      <c r="BC13" s="159">
        <v>0</v>
      </c>
      <c r="BD13" s="159">
        <v>0</v>
      </c>
      <c r="BE13" s="175">
        <v>0</v>
      </c>
      <c r="BF13" s="404" t="str">
        <f t="shared" si="1"/>
        <v>no data</v>
      </c>
      <c r="BG13" s="177">
        <f t="shared" si="2"/>
        <v>0</v>
      </c>
      <c r="BH13" s="178">
        <v>0</v>
      </c>
      <c r="BI13" s="156">
        <v>0</v>
      </c>
      <c r="BJ13" s="177">
        <v>0</v>
      </c>
      <c r="BK13" s="175">
        <v>0</v>
      </c>
      <c r="BL13" s="175">
        <v>0</v>
      </c>
      <c r="BM13" s="175">
        <v>0</v>
      </c>
      <c r="BN13" s="175">
        <v>1005</v>
      </c>
      <c r="BO13" s="177">
        <v>0</v>
      </c>
      <c r="BP13" s="180">
        <v>0</v>
      </c>
      <c r="BQ13" s="186">
        <v>0</v>
      </c>
      <c r="BR13" s="186">
        <v>0</v>
      </c>
      <c r="BS13" s="49">
        <f t="shared" si="3"/>
        <v>0</v>
      </c>
      <c r="BT13" s="179">
        <v>0</v>
      </c>
      <c r="BU13" s="179">
        <v>0</v>
      </c>
      <c r="BV13" s="51">
        <f t="shared" si="4"/>
        <v>0</v>
      </c>
      <c r="BW13" s="175">
        <f t="shared" si="5"/>
        <v>0</v>
      </c>
      <c r="BX13" s="177">
        <v>0</v>
      </c>
      <c r="BY13" s="177">
        <v>0</v>
      </c>
      <c r="CA13" s="177">
        <v>0</v>
      </c>
      <c r="CB13" s="177">
        <v>0</v>
      </c>
      <c r="CD13" s="177">
        <v>0</v>
      </c>
      <c r="CE13" s="177">
        <v>0</v>
      </c>
      <c r="CF13" s="177">
        <v>0</v>
      </c>
      <c r="CG13" s="177">
        <v>0</v>
      </c>
    </row>
    <row r="14" spans="1:85">
      <c r="A14" s="452"/>
      <c r="B14" s="24">
        <v>43438</v>
      </c>
      <c r="C14" s="157">
        <v>65.099999999999994</v>
      </c>
      <c r="D14" s="197">
        <v>0.628</v>
      </c>
      <c r="E14" s="171">
        <v>54</v>
      </c>
      <c r="F14" s="159">
        <v>79</v>
      </c>
      <c r="G14" s="159">
        <v>56</v>
      </c>
      <c r="H14" s="160">
        <v>0</v>
      </c>
      <c r="I14" s="160">
        <v>0</v>
      </c>
      <c r="J14" s="160">
        <v>0</v>
      </c>
      <c r="K14" s="160">
        <v>0</v>
      </c>
      <c r="L14" s="161">
        <v>0</v>
      </c>
      <c r="M14" s="161">
        <v>0</v>
      </c>
      <c r="N14" s="161">
        <v>0</v>
      </c>
      <c r="O14" s="161">
        <v>0</v>
      </c>
      <c r="P14" s="161">
        <v>0</v>
      </c>
      <c r="Q14" s="161">
        <v>0</v>
      </c>
      <c r="R14" s="162">
        <v>3698</v>
      </c>
      <c r="S14" s="163">
        <v>0</v>
      </c>
      <c r="T14" s="163">
        <v>0</v>
      </c>
      <c r="U14" s="164">
        <v>0</v>
      </c>
      <c r="V14" s="164">
        <v>0</v>
      </c>
      <c r="W14" s="159">
        <v>43</v>
      </c>
      <c r="X14" s="159">
        <v>1440</v>
      </c>
      <c r="Y14" s="159">
        <v>46</v>
      </c>
      <c r="Z14" s="159">
        <v>1440</v>
      </c>
      <c r="AA14" s="159">
        <v>60</v>
      </c>
      <c r="AB14" s="159">
        <v>1440</v>
      </c>
      <c r="AC14" s="165">
        <v>7</v>
      </c>
      <c r="AD14" s="166">
        <v>0</v>
      </c>
      <c r="AE14" s="159">
        <v>0</v>
      </c>
      <c r="AF14" s="402" t="str">
        <f>IF(AE14&gt;0, V14/(AE14*24),"no data")</f>
        <v>no data</v>
      </c>
      <c r="AG14" s="405">
        <f>IF(R14&gt;0,R14/24,"no data")</f>
        <v>154.08333333333334</v>
      </c>
      <c r="AH14" s="402" t="str">
        <f>IF(U14&gt;0,(U14/R14),"no data")</f>
        <v>no data</v>
      </c>
      <c r="AI14" s="406">
        <f t="shared" si="0"/>
        <v>0</v>
      </c>
      <c r="AJ14" s="403" t="str">
        <f>IF(U14&gt;0,(1440-((X14*W14+AT14*AU14)+(Z14*Y14+AV14*AW14)+(AA14*AB14+AX14*AY14))/(W14+Y14+AA14))/1440,"no data")</f>
        <v>no data</v>
      </c>
      <c r="AK14" s="235">
        <v>0</v>
      </c>
      <c r="AL14" s="239">
        <v>0</v>
      </c>
      <c r="AM14" s="368">
        <f t="shared" si="6"/>
        <v>0</v>
      </c>
      <c r="AN14" s="235">
        <v>0</v>
      </c>
      <c r="AO14" s="330">
        <v>0</v>
      </c>
      <c r="AP14" s="172">
        <f t="shared" si="7"/>
        <v>0</v>
      </c>
      <c r="AQ14" s="202" t="str">
        <f t="shared" si="8"/>
        <v>no data</v>
      </c>
      <c r="AR14" s="199">
        <v>0</v>
      </c>
      <c r="AS14" s="13"/>
      <c r="AT14" s="173">
        <v>0</v>
      </c>
      <c r="AU14" s="159">
        <v>0</v>
      </c>
      <c r="AV14" s="174">
        <v>0</v>
      </c>
      <c r="AW14" s="174">
        <v>0</v>
      </c>
      <c r="AX14" s="159">
        <v>0</v>
      </c>
      <c r="AY14" s="174">
        <v>0</v>
      </c>
      <c r="AZ14" s="159">
        <v>7</v>
      </c>
      <c r="BA14" s="4"/>
      <c r="BB14" s="159">
        <v>0</v>
      </c>
      <c r="BC14" s="159">
        <v>0</v>
      </c>
      <c r="BD14" s="159">
        <v>0</v>
      </c>
      <c r="BE14" s="175">
        <v>0</v>
      </c>
      <c r="BF14" s="404" t="str">
        <f t="shared" si="1"/>
        <v>no data</v>
      </c>
      <c r="BG14" s="177">
        <f t="shared" si="2"/>
        <v>0</v>
      </c>
      <c r="BH14" s="178">
        <v>0</v>
      </c>
      <c r="BI14" s="156">
        <v>0</v>
      </c>
      <c r="BJ14" s="177">
        <v>0</v>
      </c>
      <c r="BK14" s="175">
        <v>0</v>
      </c>
      <c r="BL14" s="175">
        <v>0</v>
      </c>
      <c r="BM14" s="175">
        <v>0</v>
      </c>
      <c r="BN14" s="179">
        <v>1004</v>
      </c>
      <c r="BO14" s="179">
        <v>0</v>
      </c>
      <c r="BP14" s="180">
        <v>0</v>
      </c>
      <c r="BQ14" s="177">
        <v>0</v>
      </c>
      <c r="BR14" s="177">
        <v>0</v>
      </c>
      <c r="BS14" s="49">
        <f t="shared" si="3"/>
        <v>0</v>
      </c>
      <c r="BT14" s="175">
        <v>0</v>
      </c>
      <c r="BU14" s="175">
        <v>0</v>
      </c>
      <c r="BV14" s="51">
        <f t="shared" si="4"/>
        <v>0</v>
      </c>
      <c r="BW14" s="175">
        <f t="shared" si="5"/>
        <v>0</v>
      </c>
      <c r="BX14" s="177">
        <v>0</v>
      </c>
      <c r="BY14" s="177">
        <v>0</v>
      </c>
      <c r="CA14" s="177">
        <v>0</v>
      </c>
      <c r="CB14" s="177">
        <v>0</v>
      </c>
      <c r="CD14" s="177">
        <v>0</v>
      </c>
      <c r="CE14" s="177">
        <v>0</v>
      </c>
      <c r="CF14" s="177">
        <v>0</v>
      </c>
      <c r="CG14" s="177">
        <v>0</v>
      </c>
    </row>
    <row r="15" spans="1:85">
      <c r="A15" s="452"/>
      <c r="B15" s="24">
        <v>43439</v>
      </c>
      <c r="C15" s="157">
        <v>63.69</v>
      </c>
      <c r="D15" s="197">
        <v>0.65439999999999998</v>
      </c>
      <c r="E15" s="171">
        <v>53.68</v>
      </c>
      <c r="F15" s="159">
        <v>81.34</v>
      </c>
      <c r="G15" s="159">
        <v>54.71</v>
      </c>
      <c r="H15" s="160">
        <v>0</v>
      </c>
      <c r="I15" s="160">
        <v>0</v>
      </c>
      <c r="J15" s="160">
        <v>0</v>
      </c>
      <c r="K15" s="160">
        <v>0</v>
      </c>
      <c r="L15" s="161">
        <v>0</v>
      </c>
      <c r="M15" s="161">
        <v>0</v>
      </c>
      <c r="N15" s="161">
        <v>0</v>
      </c>
      <c r="O15" s="161">
        <v>0</v>
      </c>
      <c r="P15" s="161">
        <v>0</v>
      </c>
      <c r="Q15" s="161">
        <v>0</v>
      </c>
      <c r="R15" s="162">
        <v>3704</v>
      </c>
      <c r="S15" s="163">
        <v>0</v>
      </c>
      <c r="T15" s="163">
        <v>0</v>
      </c>
      <c r="U15" s="164">
        <v>0</v>
      </c>
      <c r="V15" s="164">
        <v>0</v>
      </c>
      <c r="W15" s="159">
        <v>43</v>
      </c>
      <c r="X15" s="159">
        <v>1440</v>
      </c>
      <c r="Y15" s="159">
        <v>46</v>
      </c>
      <c r="Z15" s="159">
        <v>1440</v>
      </c>
      <c r="AA15" s="159">
        <v>60</v>
      </c>
      <c r="AB15" s="159">
        <v>1440</v>
      </c>
      <c r="AC15" s="165">
        <v>7</v>
      </c>
      <c r="AD15" s="166">
        <v>0</v>
      </c>
      <c r="AE15" s="159">
        <v>0</v>
      </c>
      <c r="AF15" s="402" t="str">
        <f t="shared" ref="AF15:AF41" si="9">IF(AE15&gt;0, V15/(AE15*24),"no data")</f>
        <v>no data</v>
      </c>
      <c r="AG15" s="405">
        <f t="shared" ref="AG15:AG41" si="10">IF(R15&gt;0,R15/24,"no data")</f>
        <v>154.33333333333334</v>
      </c>
      <c r="AH15" s="402" t="str">
        <f t="shared" ref="AH15:AH41" si="11">IF(U15&gt;0,(U15/R15),"no data")</f>
        <v>no data</v>
      </c>
      <c r="AI15" s="406">
        <f t="shared" si="0"/>
        <v>0</v>
      </c>
      <c r="AJ15" s="403" t="str">
        <f t="shared" ref="AJ15:AJ41" si="12">IF(U15&gt;0,(1440-((X15*W15+AT15*AU15)+(Z15*Y15+AV15*AW15)+(AA15*AB15+AX15*AY15))/(W15+Y15+AA15))/1440,"no data")</f>
        <v>no data</v>
      </c>
      <c r="AK15" s="235">
        <v>0</v>
      </c>
      <c r="AL15" s="239">
        <v>0</v>
      </c>
      <c r="AM15" s="368">
        <f t="shared" si="6"/>
        <v>0</v>
      </c>
      <c r="AN15" s="235">
        <v>0</v>
      </c>
      <c r="AO15" s="330">
        <v>0</v>
      </c>
      <c r="AP15" s="172">
        <f t="shared" si="7"/>
        <v>0</v>
      </c>
      <c r="AQ15" s="202" t="str">
        <f t="shared" si="8"/>
        <v>no data</v>
      </c>
      <c r="AR15" s="199">
        <v>0</v>
      </c>
      <c r="AS15" s="13"/>
      <c r="AT15" s="182">
        <v>0</v>
      </c>
      <c r="AU15" s="159">
        <v>0</v>
      </c>
      <c r="AV15" s="174">
        <v>0</v>
      </c>
      <c r="AW15" s="174">
        <v>0</v>
      </c>
      <c r="AX15" s="159">
        <v>0</v>
      </c>
      <c r="AY15" s="174">
        <v>0</v>
      </c>
      <c r="AZ15" s="159">
        <v>7</v>
      </c>
      <c r="BA15" s="4"/>
      <c r="BB15" s="159">
        <v>0</v>
      </c>
      <c r="BC15" s="159">
        <v>0</v>
      </c>
      <c r="BD15" s="159">
        <v>0</v>
      </c>
      <c r="BE15" s="175">
        <v>0</v>
      </c>
      <c r="BF15" s="404" t="str">
        <f t="shared" si="1"/>
        <v>no data</v>
      </c>
      <c r="BG15" s="177">
        <f t="shared" si="2"/>
        <v>0</v>
      </c>
      <c r="BH15" s="178">
        <v>0</v>
      </c>
      <c r="BI15" s="156">
        <v>0</v>
      </c>
      <c r="BJ15" s="177">
        <v>0</v>
      </c>
      <c r="BK15" s="175">
        <v>0</v>
      </c>
      <c r="BL15" s="175">
        <v>0</v>
      </c>
      <c r="BM15" s="175">
        <v>0</v>
      </c>
      <c r="BN15" s="179">
        <v>1004</v>
      </c>
      <c r="BO15" s="179">
        <v>0</v>
      </c>
      <c r="BP15" s="180">
        <v>0</v>
      </c>
      <c r="BQ15" s="177">
        <v>0</v>
      </c>
      <c r="BR15" s="177">
        <v>0</v>
      </c>
      <c r="BS15" s="49">
        <v>0</v>
      </c>
      <c r="BT15" s="175">
        <v>0</v>
      </c>
      <c r="BU15" s="175">
        <v>0</v>
      </c>
      <c r="BV15" s="51">
        <v>0</v>
      </c>
      <c r="BW15" s="175">
        <f t="shared" si="5"/>
        <v>0</v>
      </c>
      <c r="BX15" s="177">
        <v>0</v>
      </c>
      <c r="BY15" s="177">
        <v>0</v>
      </c>
      <c r="CA15" s="177">
        <v>0</v>
      </c>
      <c r="CB15" s="177">
        <v>0</v>
      </c>
      <c r="CD15" s="177">
        <v>0</v>
      </c>
      <c r="CE15" s="177">
        <v>0</v>
      </c>
      <c r="CF15" s="177">
        <v>0</v>
      </c>
      <c r="CG15" s="177">
        <v>0</v>
      </c>
    </row>
    <row r="16" spans="1:85">
      <c r="A16" s="452"/>
      <c r="B16" s="24">
        <v>43440</v>
      </c>
      <c r="C16" s="157">
        <v>63.5</v>
      </c>
      <c r="D16" s="197">
        <v>0.64200000000000002</v>
      </c>
      <c r="E16" s="171">
        <v>53.4</v>
      </c>
      <c r="F16" s="183">
        <v>78.5</v>
      </c>
      <c r="G16" s="183">
        <v>53.9</v>
      </c>
      <c r="H16" s="160">
        <v>0</v>
      </c>
      <c r="I16" s="160">
        <v>0</v>
      </c>
      <c r="J16" s="160">
        <v>0</v>
      </c>
      <c r="K16" s="160">
        <v>0</v>
      </c>
      <c r="L16" s="161">
        <v>0</v>
      </c>
      <c r="M16" s="161">
        <v>0</v>
      </c>
      <c r="N16" s="161">
        <v>0</v>
      </c>
      <c r="O16" s="161">
        <v>0</v>
      </c>
      <c r="P16" s="161">
        <v>0</v>
      </c>
      <c r="Q16" s="161">
        <v>0</v>
      </c>
      <c r="R16" s="162">
        <v>3702</v>
      </c>
      <c r="S16" s="163">
        <v>0</v>
      </c>
      <c r="T16" s="163">
        <v>0</v>
      </c>
      <c r="U16" s="164">
        <v>0</v>
      </c>
      <c r="V16" s="164">
        <v>0</v>
      </c>
      <c r="W16" s="159">
        <v>43</v>
      </c>
      <c r="X16" s="183">
        <v>1440</v>
      </c>
      <c r="Y16" s="183">
        <v>46</v>
      </c>
      <c r="Z16" s="183">
        <v>1440</v>
      </c>
      <c r="AA16" s="183">
        <v>60</v>
      </c>
      <c r="AB16" s="183">
        <v>1440</v>
      </c>
      <c r="AC16" s="165">
        <v>6</v>
      </c>
      <c r="AD16" s="166">
        <v>0</v>
      </c>
      <c r="AE16" s="159">
        <v>0</v>
      </c>
      <c r="AF16" s="402" t="str">
        <f t="shared" si="9"/>
        <v>no data</v>
      </c>
      <c r="AG16" s="405">
        <f t="shared" si="10"/>
        <v>154.25</v>
      </c>
      <c r="AH16" s="402" t="str">
        <f t="shared" si="11"/>
        <v>no data</v>
      </c>
      <c r="AI16" s="406">
        <f>IF(W16&gt;0,(1440-((W16*X16)+(Y16*Z16)+(AA16*AB16))/(W16+Y16+AA16))/1440, "no data")</f>
        <v>0</v>
      </c>
      <c r="AJ16" s="403" t="str">
        <f t="shared" si="12"/>
        <v>no data</v>
      </c>
      <c r="AK16" s="235">
        <v>0</v>
      </c>
      <c r="AL16" s="239">
        <v>0</v>
      </c>
      <c r="AM16" s="368">
        <f t="shared" si="6"/>
        <v>0</v>
      </c>
      <c r="AN16" s="235">
        <v>0</v>
      </c>
      <c r="AO16" s="330">
        <v>0</v>
      </c>
      <c r="AP16" s="172">
        <f t="shared" si="7"/>
        <v>0</v>
      </c>
      <c r="AQ16" s="202" t="str">
        <f t="shared" si="8"/>
        <v>no data</v>
      </c>
      <c r="AR16" s="199">
        <v>0</v>
      </c>
      <c r="AS16" s="13"/>
      <c r="AT16" s="159">
        <v>0</v>
      </c>
      <c r="AU16" s="174">
        <v>0</v>
      </c>
      <c r="AV16" s="174">
        <v>0</v>
      </c>
      <c r="AW16" s="159">
        <v>0</v>
      </c>
      <c r="AX16" s="174">
        <v>0</v>
      </c>
      <c r="AY16" s="159">
        <v>0</v>
      </c>
      <c r="AZ16" s="159">
        <v>6</v>
      </c>
      <c r="BA16" s="4"/>
      <c r="BB16" s="175">
        <v>0</v>
      </c>
      <c r="BC16" s="175">
        <v>0</v>
      </c>
      <c r="BD16" s="184">
        <v>0</v>
      </c>
      <c r="BE16" s="175">
        <v>0</v>
      </c>
      <c r="BF16" s="404" t="str">
        <f t="shared" si="1"/>
        <v>no data</v>
      </c>
      <c r="BG16" s="177">
        <f t="shared" si="2"/>
        <v>0</v>
      </c>
      <c r="BH16" s="178">
        <v>0</v>
      </c>
      <c r="BI16" s="156">
        <v>0</v>
      </c>
      <c r="BJ16" s="177">
        <v>0</v>
      </c>
      <c r="BK16" s="175">
        <v>0</v>
      </c>
      <c r="BL16" s="175">
        <v>0</v>
      </c>
      <c r="BM16" s="175">
        <v>0</v>
      </c>
      <c r="BN16" s="179">
        <v>1005</v>
      </c>
      <c r="BO16" s="179">
        <v>0</v>
      </c>
      <c r="BP16" s="185">
        <v>0</v>
      </c>
      <c r="BQ16" s="177">
        <v>0</v>
      </c>
      <c r="BR16" s="177">
        <v>0</v>
      </c>
      <c r="BS16" s="49">
        <f t="shared" si="3"/>
        <v>0</v>
      </c>
      <c r="BT16" s="175">
        <v>0</v>
      </c>
      <c r="BU16" s="175">
        <v>0</v>
      </c>
      <c r="BV16" s="51">
        <f t="shared" si="4"/>
        <v>0</v>
      </c>
      <c r="BW16" s="175">
        <f t="shared" si="5"/>
        <v>0</v>
      </c>
      <c r="BX16" s="177">
        <v>0</v>
      </c>
      <c r="BY16" s="177">
        <v>0</v>
      </c>
      <c r="CA16" s="177">
        <v>0</v>
      </c>
      <c r="CB16" s="177">
        <v>0</v>
      </c>
      <c r="CD16" s="177">
        <v>0</v>
      </c>
      <c r="CE16" s="177">
        <v>0</v>
      </c>
      <c r="CF16" s="177">
        <v>0</v>
      </c>
      <c r="CG16" s="177">
        <v>0</v>
      </c>
    </row>
    <row r="17" spans="1:85">
      <c r="A17" s="452"/>
      <c r="B17" s="24">
        <v>43441</v>
      </c>
      <c r="C17" s="157">
        <v>63.08</v>
      </c>
      <c r="D17" s="197">
        <v>0.69830000000000003</v>
      </c>
      <c r="E17" s="171">
        <v>54.89</v>
      </c>
      <c r="F17" s="159">
        <v>78.34</v>
      </c>
      <c r="G17" s="159">
        <v>53.95</v>
      </c>
      <c r="H17" s="159">
        <v>0</v>
      </c>
      <c r="I17" s="159">
        <v>0</v>
      </c>
      <c r="J17" s="159">
        <v>0</v>
      </c>
      <c r="K17" s="159">
        <v>0</v>
      </c>
      <c r="L17" s="161">
        <v>0</v>
      </c>
      <c r="M17" s="161">
        <v>0</v>
      </c>
      <c r="N17" s="161">
        <v>0</v>
      </c>
      <c r="O17" s="161">
        <v>0</v>
      </c>
      <c r="P17" s="161">
        <v>0</v>
      </c>
      <c r="Q17" s="161">
        <v>0</v>
      </c>
      <c r="R17" s="162">
        <v>3705</v>
      </c>
      <c r="S17" s="163">
        <v>0</v>
      </c>
      <c r="T17" s="163">
        <v>0</v>
      </c>
      <c r="U17" s="164">
        <v>0</v>
      </c>
      <c r="V17" s="164">
        <v>0</v>
      </c>
      <c r="W17" s="159">
        <v>43</v>
      </c>
      <c r="X17" s="159">
        <v>1440</v>
      </c>
      <c r="Y17" s="159">
        <v>46</v>
      </c>
      <c r="Z17" s="159">
        <v>1440</v>
      </c>
      <c r="AA17" s="159">
        <v>60</v>
      </c>
      <c r="AB17" s="159">
        <v>1440</v>
      </c>
      <c r="AC17" s="165">
        <v>7</v>
      </c>
      <c r="AD17" s="166">
        <v>0</v>
      </c>
      <c r="AE17" s="159">
        <v>0</v>
      </c>
      <c r="AF17" s="402" t="str">
        <f t="shared" si="9"/>
        <v>no data</v>
      </c>
      <c r="AG17" s="405">
        <f t="shared" si="10"/>
        <v>154.375</v>
      </c>
      <c r="AH17" s="402" t="str">
        <f t="shared" si="11"/>
        <v>no data</v>
      </c>
      <c r="AI17" s="406">
        <f t="shared" ref="AI17:AI41" si="13">IF(W17&gt;0,(1440-((W17*X17)+(Y17*Z17)+(AA17*AB17))/(W17+Y17+AA17))/1440, "no data")</f>
        <v>0</v>
      </c>
      <c r="AJ17" s="403" t="str">
        <f t="shared" si="12"/>
        <v>no data</v>
      </c>
      <c r="AK17" s="235">
        <v>0</v>
      </c>
      <c r="AL17" s="239">
        <v>0</v>
      </c>
      <c r="AM17" s="368">
        <f t="shared" si="6"/>
        <v>0</v>
      </c>
      <c r="AN17" s="235">
        <v>0</v>
      </c>
      <c r="AO17" s="330">
        <v>0</v>
      </c>
      <c r="AP17" s="172">
        <f t="shared" si="7"/>
        <v>0</v>
      </c>
      <c r="AQ17" s="202" t="str">
        <f t="shared" si="8"/>
        <v>no data</v>
      </c>
      <c r="AR17" s="199">
        <v>0</v>
      </c>
      <c r="AS17" s="13"/>
      <c r="AT17" s="159">
        <v>0</v>
      </c>
      <c r="AU17" s="159">
        <v>0</v>
      </c>
      <c r="AV17" s="159">
        <v>0</v>
      </c>
      <c r="AW17" s="159">
        <v>0</v>
      </c>
      <c r="AX17" s="159">
        <v>0</v>
      </c>
      <c r="AY17" s="159">
        <v>0</v>
      </c>
      <c r="AZ17" s="159">
        <v>7</v>
      </c>
      <c r="BA17" s="4"/>
      <c r="BB17" s="175">
        <v>0</v>
      </c>
      <c r="BC17" s="175">
        <v>0</v>
      </c>
      <c r="BD17" s="175">
        <v>0</v>
      </c>
      <c r="BE17" s="175">
        <v>0</v>
      </c>
      <c r="BF17" s="404" t="str">
        <f t="shared" si="1"/>
        <v>no data</v>
      </c>
      <c r="BG17" s="177">
        <f t="shared" si="2"/>
        <v>0</v>
      </c>
      <c r="BH17" s="178">
        <v>0</v>
      </c>
      <c r="BI17" s="156">
        <v>0</v>
      </c>
      <c r="BJ17" s="177">
        <v>0</v>
      </c>
      <c r="BK17" s="175">
        <v>0</v>
      </c>
      <c r="BL17" s="175">
        <v>0</v>
      </c>
      <c r="BM17" s="175">
        <v>0</v>
      </c>
      <c r="BN17" s="179">
        <v>1004</v>
      </c>
      <c r="BO17" s="179">
        <v>0</v>
      </c>
      <c r="BP17" s="185">
        <v>0</v>
      </c>
      <c r="BQ17" s="177">
        <v>0</v>
      </c>
      <c r="BR17" s="177">
        <v>0</v>
      </c>
      <c r="BS17" s="49">
        <f t="shared" si="3"/>
        <v>0</v>
      </c>
      <c r="BT17" s="175">
        <v>0</v>
      </c>
      <c r="BU17" s="175">
        <v>0</v>
      </c>
      <c r="BV17" s="51">
        <f t="shared" si="4"/>
        <v>0</v>
      </c>
      <c r="BW17" s="175">
        <f t="shared" si="5"/>
        <v>0</v>
      </c>
      <c r="BX17" s="177">
        <v>0</v>
      </c>
      <c r="BY17" s="177">
        <v>0</v>
      </c>
      <c r="CA17" s="177">
        <v>0</v>
      </c>
      <c r="CB17" s="177">
        <v>0</v>
      </c>
      <c r="CD17" s="177">
        <v>0</v>
      </c>
      <c r="CE17" s="177">
        <v>0</v>
      </c>
      <c r="CF17" s="177">
        <v>0</v>
      </c>
      <c r="CG17" s="177">
        <v>0</v>
      </c>
    </row>
    <row r="18" spans="1:85">
      <c r="A18" s="452"/>
      <c r="B18" s="24">
        <v>43442</v>
      </c>
      <c r="C18" s="157">
        <v>63</v>
      </c>
      <c r="D18" s="197">
        <v>0.69</v>
      </c>
      <c r="E18" s="171">
        <v>55</v>
      </c>
      <c r="F18" s="159">
        <v>77</v>
      </c>
      <c r="G18" s="159">
        <v>54</v>
      </c>
      <c r="H18" s="159">
        <v>0</v>
      </c>
      <c r="I18" s="159">
        <v>0</v>
      </c>
      <c r="J18" s="159">
        <v>0</v>
      </c>
      <c r="K18" s="159">
        <v>0</v>
      </c>
      <c r="L18" s="161">
        <v>0</v>
      </c>
      <c r="M18" s="161">
        <v>0</v>
      </c>
      <c r="N18" s="161">
        <v>0</v>
      </c>
      <c r="O18" s="161">
        <v>0</v>
      </c>
      <c r="P18" s="161">
        <v>0</v>
      </c>
      <c r="Q18" s="161">
        <v>0</v>
      </c>
      <c r="R18" s="162">
        <v>3705</v>
      </c>
      <c r="S18" s="163">
        <v>0</v>
      </c>
      <c r="T18" s="163">
        <v>0</v>
      </c>
      <c r="U18" s="164">
        <v>0</v>
      </c>
      <c r="V18" s="164">
        <v>0</v>
      </c>
      <c r="W18" s="159">
        <v>43</v>
      </c>
      <c r="X18" s="159">
        <v>1440</v>
      </c>
      <c r="Y18" s="159">
        <v>46</v>
      </c>
      <c r="Z18" s="159">
        <v>1440</v>
      </c>
      <c r="AA18" s="159">
        <v>60</v>
      </c>
      <c r="AB18" s="159">
        <v>1440</v>
      </c>
      <c r="AC18" s="165">
        <v>7</v>
      </c>
      <c r="AD18" s="166">
        <v>0</v>
      </c>
      <c r="AE18" s="159">
        <v>0</v>
      </c>
      <c r="AF18" s="402" t="str">
        <f t="shared" si="9"/>
        <v>no data</v>
      </c>
      <c r="AG18" s="405">
        <f t="shared" si="10"/>
        <v>154.375</v>
      </c>
      <c r="AH18" s="402" t="str">
        <f t="shared" si="11"/>
        <v>no data</v>
      </c>
      <c r="AI18" s="406">
        <f t="shared" si="13"/>
        <v>0</v>
      </c>
      <c r="AJ18" s="403" t="str">
        <f t="shared" si="12"/>
        <v>no data</v>
      </c>
      <c r="AK18" s="236">
        <v>0</v>
      </c>
      <c r="AL18" s="240">
        <v>0</v>
      </c>
      <c r="AM18" s="368">
        <f t="shared" si="6"/>
        <v>0</v>
      </c>
      <c r="AN18" s="236">
        <v>0</v>
      </c>
      <c r="AO18" s="330">
        <v>0</v>
      </c>
      <c r="AP18" s="172">
        <f t="shared" si="7"/>
        <v>0</v>
      </c>
      <c r="AQ18" s="202" t="str">
        <f t="shared" si="8"/>
        <v>no data</v>
      </c>
      <c r="AR18" s="199">
        <v>0</v>
      </c>
      <c r="AS18" s="13"/>
      <c r="AT18" s="159">
        <v>0</v>
      </c>
      <c r="AU18" s="159">
        <v>0</v>
      </c>
      <c r="AV18" s="159">
        <v>0</v>
      </c>
      <c r="AW18" s="159">
        <v>0</v>
      </c>
      <c r="AX18" s="159">
        <v>0</v>
      </c>
      <c r="AY18" s="159">
        <v>0</v>
      </c>
      <c r="AZ18" s="159">
        <v>7</v>
      </c>
      <c r="BA18" s="4"/>
      <c r="BB18" s="175">
        <v>0</v>
      </c>
      <c r="BC18" s="175">
        <v>0</v>
      </c>
      <c r="BD18" s="175">
        <v>0</v>
      </c>
      <c r="BE18" s="175">
        <v>0</v>
      </c>
      <c r="BF18" s="404" t="str">
        <f t="shared" si="1"/>
        <v>no data</v>
      </c>
      <c r="BG18" s="177">
        <f t="shared" si="2"/>
        <v>0</v>
      </c>
      <c r="BH18" s="178">
        <v>0</v>
      </c>
      <c r="BI18" s="156">
        <v>0</v>
      </c>
      <c r="BJ18" s="177">
        <v>0</v>
      </c>
      <c r="BK18" s="175">
        <v>0</v>
      </c>
      <c r="BL18" s="175">
        <v>0</v>
      </c>
      <c r="BM18" s="175">
        <v>0</v>
      </c>
      <c r="BN18" s="179">
        <v>1004</v>
      </c>
      <c r="BO18" s="179">
        <v>0</v>
      </c>
      <c r="BP18" s="185">
        <v>0</v>
      </c>
      <c r="BQ18" s="177">
        <v>0</v>
      </c>
      <c r="BR18" s="186">
        <v>0</v>
      </c>
      <c r="BS18" s="49">
        <f t="shared" si="3"/>
        <v>0</v>
      </c>
      <c r="BT18" s="175">
        <v>0</v>
      </c>
      <c r="BU18" s="175">
        <v>0</v>
      </c>
      <c r="BV18" s="51">
        <f t="shared" si="4"/>
        <v>0</v>
      </c>
      <c r="BW18" s="175">
        <f t="shared" si="5"/>
        <v>0</v>
      </c>
      <c r="BX18" s="177">
        <v>0</v>
      </c>
      <c r="BY18" s="177">
        <v>0</v>
      </c>
      <c r="CA18" s="177">
        <v>0</v>
      </c>
      <c r="CB18" s="177">
        <v>0</v>
      </c>
      <c r="CD18" s="177">
        <v>0</v>
      </c>
      <c r="CE18" s="177">
        <v>0</v>
      </c>
      <c r="CF18" s="177">
        <v>0</v>
      </c>
      <c r="CG18" s="177">
        <v>0</v>
      </c>
    </row>
    <row r="19" spans="1:85">
      <c r="A19" s="453"/>
      <c r="B19" s="24">
        <v>43443</v>
      </c>
      <c r="C19" s="157">
        <v>63.4</v>
      </c>
      <c r="D19" s="197">
        <v>0.67500000000000004</v>
      </c>
      <c r="E19" s="171">
        <v>54.5</v>
      </c>
      <c r="F19" s="159">
        <v>76</v>
      </c>
      <c r="G19" s="159">
        <v>54</v>
      </c>
      <c r="H19" s="159">
        <v>0</v>
      </c>
      <c r="I19" s="159">
        <v>0</v>
      </c>
      <c r="J19" s="159">
        <v>0</v>
      </c>
      <c r="K19" s="159">
        <v>0</v>
      </c>
      <c r="L19" s="161">
        <v>0</v>
      </c>
      <c r="M19" s="161">
        <v>0</v>
      </c>
      <c r="N19" s="161">
        <v>0</v>
      </c>
      <c r="O19" s="161">
        <v>0</v>
      </c>
      <c r="P19" s="161">
        <v>0</v>
      </c>
      <c r="Q19" s="161">
        <v>0</v>
      </c>
      <c r="R19" s="162">
        <v>3700</v>
      </c>
      <c r="S19" s="163">
        <v>0</v>
      </c>
      <c r="T19" s="163">
        <v>0</v>
      </c>
      <c r="U19" s="164">
        <v>0</v>
      </c>
      <c r="V19" s="164">
        <v>0</v>
      </c>
      <c r="W19" s="159">
        <v>43</v>
      </c>
      <c r="X19" s="159">
        <v>1440</v>
      </c>
      <c r="Y19" s="159">
        <v>46</v>
      </c>
      <c r="Z19" s="159">
        <v>1440</v>
      </c>
      <c r="AA19" s="159">
        <v>60</v>
      </c>
      <c r="AB19" s="159">
        <v>1440</v>
      </c>
      <c r="AC19" s="165">
        <v>6</v>
      </c>
      <c r="AD19" s="166">
        <v>0</v>
      </c>
      <c r="AE19" s="159">
        <v>0</v>
      </c>
      <c r="AF19" s="402" t="str">
        <f t="shared" si="9"/>
        <v>no data</v>
      </c>
      <c r="AG19" s="405">
        <f t="shared" si="10"/>
        <v>154.16666666666666</v>
      </c>
      <c r="AH19" s="402" t="str">
        <f t="shared" si="11"/>
        <v>no data</v>
      </c>
      <c r="AI19" s="406">
        <f t="shared" si="13"/>
        <v>0</v>
      </c>
      <c r="AJ19" s="403" t="str">
        <f t="shared" si="12"/>
        <v>no data</v>
      </c>
      <c r="AK19" s="236">
        <v>0</v>
      </c>
      <c r="AL19" s="240">
        <v>0</v>
      </c>
      <c r="AM19" s="368">
        <f t="shared" si="6"/>
        <v>0</v>
      </c>
      <c r="AN19" s="236">
        <v>0</v>
      </c>
      <c r="AO19" s="330">
        <v>0</v>
      </c>
      <c r="AP19" s="172">
        <f t="shared" si="7"/>
        <v>0</v>
      </c>
      <c r="AQ19" s="202" t="str">
        <f t="shared" si="8"/>
        <v>no data</v>
      </c>
      <c r="AR19" s="199">
        <v>0</v>
      </c>
      <c r="AS19" s="13"/>
      <c r="AT19" s="159">
        <v>0</v>
      </c>
      <c r="AU19" s="159">
        <v>0</v>
      </c>
      <c r="AV19" s="159">
        <v>0</v>
      </c>
      <c r="AW19" s="159">
        <v>0</v>
      </c>
      <c r="AX19" s="159">
        <v>0</v>
      </c>
      <c r="AY19" s="159">
        <v>0</v>
      </c>
      <c r="AZ19" s="159">
        <v>6</v>
      </c>
      <c r="BA19" s="4"/>
      <c r="BB19" s="175">
        <v>0</v>
      </c>
      <c r="BC19" s="175">
        <v>0</v>
      </c>
      <c r="BD19" s="175">
        <v>0</v>
      </c>
      <c r="BE19" s="175">
        <v>0</v>
      </c>
      <c r="BF19" s="404" t="str">
        <f t="shared" si="1"/>
        <v>no data</v>
      </c>
      <c r="BG19" s="177">
        <f t="shared" si="2"/>
        <v>0</v>
      </c>
      <c r="BH19" s="178">
        <v>0</v>
      </c>
      <c r="BI19" s="156">
        <v>0</v>
      </c>
      <c r="BJ19" s="177">
        <v>0</v>
      </c>
      <c r="BK19" s="175">
        <v>0</v>
      </c>
      <c r="BL19" s="175">
        <v>0</v>
      </c>
      <c r="BM19" s="175">
        <v>0</v>
      </c>
      <c r="BN19" s="179">
        <v>1004</v>
      </c>
      <c r="BO19" s="179">
        <v>0</v>
      </c>
      <c r="BP19" s="185">
        <v>0</v>
      </c>
      <c r="BQ19" s="177">
        <v>0</v>
      </c>
      <c r="BR19" s="186">
        <v>0</v>
      </c>
      <c r="BS19" s="49">
        <v>0</v>
      </c>
      <c r="BT19" s="175">
        <v>0</v>
      </c>
      <c r="BU19" s="175">
        <v>0</v>
      </c>
      <c r="BV19" s="51">
        <f t="shared" si="4"/>
        <v>0</v>
      </c>
      <c r="BW19" s="175">
        <f t="shared" si="5"/>
        <v>0</v>
      </c>
      <c r="BX19" s="177">
        <v>0</v>
      </c>
      <c r="BY19" s="177">
        <v>0</v>
      </c>
      <c r="CA19" s="177">
        <v>0</v>
      </c>
      <c r="CB19" s="177">
        <v>0</v>
      </c>
      <c r="CC19" s="407">
        <v>0</v>
      </c>
      <c r="CD19" s="177">
        <v>0</v>
      </c>
      <c r="CE19" s="177">
        <v>0</v>
      </c>
      <c r="CF19" s="177">
        <v>0</v>
      </c>
      <c r="CG19" s="177">
        <v>0</v>
      </c>
    </row>
    <row r="20" spans="1:85" ht="12.75" customHeight="1">
      <c r="A20" s="451" t="s">
        <v>325</v>
      </c>
      <c r="B20" s="24">
        <v>43444</v>
      </c>
      <c r="C20" s="25">
        <v>63</v>
      </c>
      <c r="D20" s="26">
        <v>0.74</v>
      </c>
      <c r="E20" s="38">
        <v>57</v>
      </c>
      <c r="F20" s="27">
        <v>72</v>
      </c>
      <c r="G20" s="27">
        <v>58</v>
      </c>
      <c r="H20" s="27">
        <v>0</v>
      </c>
      <c r="I20" s="27">
        <v>0</v>
      </c>
      <c r="J20" s="27">
        <v>0</v>
      </c>
      <c r="K20" s="27">
        <v>0</v>
      </c>
      <c r="L20" s="27">
        <v>0</v>
      </c>
      <c r="M20" s="27">
        <v>0</v>
      </c>
      <c r="N20" s="29">
        <v>0</v>
      </c>
      <c r="O20" s="29">
        <v>0</v>
      </c>
      <c r="P20" s="29">
        <v>0</v>
      </c>
      <c r="Q20" s="29">
        <v>0</v>
      </c>
      <c r="R20" s="58">
        <v>3705</v>
      </c>
      <c r="S20" s="30">
        <v>0</v>
      </c>
      <c r="T20" s="30">
        <v>0</v>
      </c>
      <c r="U20" s="59">
        <v>0</v>
      </c>
      <c r="V20" s="31">
        <v>0</v>
      </c>
      <c r="W20" s="27">
        <v>43</v>
      </c>
      <c r="X20" s="27">
        <v>1440</v>
      </c>
      <c r="Y20" s="27">
        <v>46</v>
      </c>
      <c r="Z20" s="27">
        <v>1440</v>
      </c>
      <c r="AA20" s="27">
        <v>60</v>
      </c>
      <c r="AB20" s="27">
        <v>1440</v>
      </c>
      <c r="AC20" s="32">
        <v>7</v>
      </c>
      <c r="AD20" s="33">
        <v>0</v>
      </c>
      <c r="AE20" s="27">
        <v>0</v>
      </c>
      <c r="AF20" s="224" t="str">
        <f t="shared" si="9"/>
        <v>no data</v>
      </c>
      <c r="AG20" s="225">
        <f t="shared" si="10"/>
        <v>154.375</v>
      </c>
      <c r="AH20" s="224" t="str">
        <f t="shared" si="11"/>
        <v>no data</v>
      </c>
      <c r="AI20" s="226">
        <f t="shared" si="13"/>
        <v>0</v>
      </c>
      <c r="AJ20" s="227" t="str">
        <f t="shared" si="12"/>
        <v>no data</v>
      </c>
      <c r="AK20" s="236">
        <v>0</v>
      </c>
      <c r="AL20" s="240">
        <v>0</v>
      </c>
      <c r="AM20" s="38">
        <f t="shared" si="6"/>
        <v>0</v>
      </c>
      <c r="AN20" s="236">
        <v>0</v>
      </c>
      <c r="AO20" s="330">
        <v>0</v>
      </c>
      <c r="AP20" s="39">
        <f t="shared" si="7"/>
        <v>0</v>
      </c>
      <c r="AQ20" s="201" t="str">
        <f t="shared" si="8"/>
        <v>no data</v>
      </c>
      <c r="AR20" s="198">
        <v>0</v>
      </c>
      <c r="AS20" s="13"/>
      <c r="AT20" s="27">
        <v>0</v>
      </c>
      <c r="AU20" s="40">
        <v>0</v>
      </c>
      <c r="AV20" s="40">
        <v>0</v>
      </c>
      <c r="AW20" s="27">
        <v>0</v>
      </c>
      <c r="AX20" s="40">
        <v>0</v>
      </c>
      <c r="AY20" s="27">
        <v>0</v>
      </c>
      <c r="AZ20" s="27">
        <v>7</v>
      </c>
      <c r="BA20" s="4"/>
      <c r="BB20" s="52">
        <v>0</v>
      </c>
      <c r="BC20" s="52">
        <v>0</v>
      </c>
      <c r="BD20" s="52">
        <v>0</v>
      </c>
      <c r="BE20" s="242">
        <v>0</v>
      </c>
      <c r="BF20" s="242" t="str">
        <f t="shared" si="1"/>
        <v>no data</v>
      </c>
      <c r="BG20" s="294">
        <f t="shared" si="2"/>
        <v>0</v>
      </c>
      <c r="BH20" s="408">
        <v>0</v>
      </c>
      <c r="BI20" s="62">
        <v>0</v>
      </c>
      <c r="BJ20" s="42">
        <v>0</v>
      </c>
      <c r="BK20" s="41">
        <v>0</v>
      </c>
      <c r="BL20" s="41">
        <v>0</v>
      </c>
      <c r="BM20" s="41">
        <v>0</v>
      </c>
      <c r="BN20" s="63">
        <v>1003</v>
      </c>
      <c r="BO20" s="63">
        <v>0</v>
      </c>
      <c r="BP20" s="64">
        <v>0</v>
      </c>
      <c r="BQ20" s="42">
        <v>0</v>
      </c>
      <c r="BR20" s="42">
        <v>0</v>
      </c>
      <c r="BS20" s="49">
        <f t="shared" si="3"/>
        <v>0</v>
      </c>
      <c r="BT20" s="41">
        <v>0</v>
      </c>
      <c r="BU20" s="41">
        <v>0</v>
      </c>
      <c r="BV20" s="51">
        <f t="shared" si="4"/>
        <v>0</v>
      </c>
      <c r="BW20" s="41">
        <f t="shared" si="5"/>
        <v>0</v>
      </c>
      <c r="BX20" s="42">
        <v>0</v>
      </c>
      <c r="BY20" s="42">
        <v>0</v>
      </c>
      <c r="CA20" s="42">
        <v>0</v>
      </c>
      <c r="CB20" s="42">
        <v>0</v>
      </c>
      <c r="CD20" s="42">
        <v>0</v>
      </c>
      <c r="CE20" s="42">
        <v>0</v>
      </c>
      <c r="CF20" s="42">
        <v>0</v>
      </c>
      <c r="CG20" s="42">
        <v>0</v>
      </c>
    </row>
    <row r="21" spans="1:85">
      <c r="A21" s="452"/>
      <c r="B21" s="24">
        <v>43445</v>
      </c>
      <c r="C21" s="25">
        <v>59.2</v>
      </c>
      <c r="D21" s="26">
        <v>0.73499999999999999</v>
      </c>
      <c r="E21" s="38">
        <v>53.2</v>
      </c>
      <c r="F21" s="27">
        <v>69</v>
      </c>
      <c r="G21" s="27">
        <v>52</v>
      </c>
      <c r="H21" s="27">
        <v>0</v>
      </c>
      <c r="I21" s="27">
        <v>0</v>
      </c>
      <c r="J21" s="27">
        <v>0</v>
      </c>
      <c r="K21" s="27">
        <v>0</v>
      </c>
      <c r="L21" s="29">
        <v>0</v>
      </c>
      <c r="M21" s="29">
        <v>0</v>
      </c>
      <c r="N21" s="29">
        <v>0</v>
      </c>
      <c r="O21" s="29">
        <v>0</v>
      </c>
      <c r="P21" s="29">
        <v>0</v>
      </c>
      <c r="Q21" s="29">
        <v>0</v>
      </c>
      <c r="R21" s="58">
        <v>3719</v>
      </c>
      <c r="S21" s="30">
        <v>0</v>
      </c>
      <c r="T21" s="30">
        <v>0</v>
      </c>
      <c r="U21" s="59">
        <v>0</v>
      </c>
      <c r="V21" s="31">
        <v>0</v>
      </c>
      <c r="W21" s="27">
        <v>43</v>
      </c>
      <c r="X21" s="27">
        <v>1440</v>
      </c>
      <c r="Y21" s="27">
        <v>46</v>
      </c>
      <c r="Z21" s="27">
        <v>1440</v>
      </c>
      <c r="AA21" s="27">
        <v>60</v>
      </c>
      <c r="AB21" s="27">
        <v>1440</v>
      </c>
      <c r="AC21" s="32">
        <v>3</v>
      </c>
      <c r="AD21" s="33">
        <v>0</v>
      </c>
      <c r="AE21" s="27">
        <v>0</v>
      </c>
      <c r="AF21" s="224" t="str">
        <f t="shared" si="9"/>
        <v>no data</v>
      </c>
      <c r="AG21" s="225">
        <f t="shared" si="10"/>
        <v>154.95833333333334</v>
      </c>
      <c r="AH21" s="224" t="str">
        <f t="shared" si="11"/>
        <v>no data</v>
      </c>
      <c r="AI21" s="226">
        <f t="shared" si="13"/>
        <v>0</v>
      </c>
      <c r="AJ21" s="227" t="str">
        <f t="shared" si="12"/>
        <v>no data</v>
      </c>
      <c r="AK21" s="236">
        <v>0</v>
      </c>
      <c r="AL21" s="240">
        <v>0</v>
      </c>
      <c r="AM21" s="38">
        <v>0</v>
      </c>
      <c r="AN21" s="236">
        <v>0</v>
      </c>
      <c r="AO21" s="330">
        <v>0</v>
      </c>
      <c r="AP21" s="39">
        <v>0</v>
      </c>
      <c r="AQ21" s="201" t="s">
        <v>323</v>
      </c>
      <c r="AR21" s="198">
        <v>0</v>
      </c>
      <c r="AS21" s="13"/>
      <c r="AT21" s="27">
        <v>0</v>
      </c>
      <c r="AU21" s="40">
        <v>0</v>
      </c>
      <c r="AV21" s="40">
        <v>0</v>
      </c>
      <c r="AW21" s="27">
        <v>0</v>
      </c>
      <c r="AX21" s="40">
        <v>0</v>
      </c>
      <c r="AY21" s="27">
        <v>0</v>
      </c>
      <c r="AZ21" s="27">
        <v>3</v>
      </c>
      <c r="BA21" s="4"/>
      <c r="BB21" s="52">
        <v>0</v>
      </c>
      <c r="BC21" s="52">
        <v>0</v>
      </c>
      <c r="BD21" s="52">
        <v>0</v>
      </c>
      <c r="BE21" s="242">
        <v>0</v>
      </c>
      <c r="BF21" s="242" t="str">
        <f t="shared" si="1"/>
        <v>no data</v>
      </c>
      <c r="BG21" s="294">
        <f t="shared" si="2"/>
        <v>0</v>
      </c>
      <c r="BH21" s="295">
        <v>0</v>
      </c>
      <c r="BI21" s="44">
        <v>0</v>
      </c>
      <c r="BJ21" s="45">
        <v>0</v>
      </c>
      <c r="BK21" s="47">
        <v>0</v>
      </c>
      <c r="BL21" s="47">
        <v>0</v>
      </c>
      <c r="BM21" s="47">
        <v>0</v>
      </c>
      <c r="BN21" s="47">
        <v>1004</v>
      </c>
      <c r="BO21" s="45">
        <v>50.1</v>
      </c>
      <c r="BP21" s="48">
        <v>0</v>
      </c>
      <c r="BQ21" s="42">
        <v>0</v>
      </c>
      <c r="BR21" s="42">
        <v>0</v>
      </c>
      <c r="BS21" s="49">
        <v>0</v>
      </c>
      <c r="BT21" s="41">
        <v>0</v>
      </c>
      <c r="BU21" s="41">
        <v>0</v>
      </c>
      <c r="BV21" s="51">
        <v>0</v>
      </c>
      <c r="BW21" s="41">
        <v>0</v>
      </c>
      <c r="BX21" s="42">
        <v>0</v>
      </c>
      <c r="BY21" s="42">
        <v>0</v>
      </c>
      <c r="CA21" s="42">
        <v>0</v>
      </c>
      <c r="CB21" s="42">
        <v>0</v>
      </c>
      <c r="CD21" s="42">
        <v>0</v>
      </c>
      <c r="CE21" s="42">
        <v>0</v>
      </c>
      <c r="CF21" s="42">
        <v>0</v>
      </c>
      <c r="CG21" s="42">
        <v>0</v>
      </c>
    </row>
    <row r="22" spans="1:85">
      <c r="A22" s="452"/>
      <c r="B22" s="24">
        <v>43446</v>
      </c>
      <c r="C22" s="25">
        <v>58.6</v>
      </c>
      <c r="D22" s="26">
        <v>0.70099999999999996</v>
      </c>
      <c r="E22" s="38">
        <v>51.3</v>
      </c>
      <c r="F22" s="27">
        <v>75</v>
      </c>
      <c r="G22" s="27">
        <v>51</v>
      </c>
      <c r="H22" s="27">
        <v>0</v>
      </c>
      <c r="I22" s="27">
        <v>0</v>
      </c>
      <c r="J22" s="27">
        <v>0</v>
      </c>
      <c r="K22" s="27">
        <v>0</v>
      </c>
      <c r="L22" s="29">
        <v>0</v>
      </c>
      <c r="M22" s="29">
        <v>0</v>
      </c>
      <c r="N22" s="29">
        <v>0</v>
      </c>
      <c r="O22" s="29">
        <v>0</v>
      </c>
      <c r="P22" s="29">
        <v>0</v>
      </c>
      <c r="Q22" s="29">
        <v>0</v>
      </c>
      <c r="R22" s="58">
        <v>3719</v>
      </c>
      <c r="S22" s="30">
        <v>0</v>
      </c>
      <c r="T22" s="30">
        <v>0</v>
      </c>
      <c r="U22" s="65">
        <v>0</v>
      </c>
      <c r="V22" s="31">
        <v>0</v>
      </c>
      <c r="W22" s="27">
        <v>43</v>
      </c>
      <c r="X22" s="27">
        <v>1440</v>
      </c>
      <c r="Y22" s="27">
        <v>46</v>
      </c>
      <c r="Z22" s="27">
        <v>1440</v>
      </c>
      <c r="AA22" s="27">
        <v>60</v>
      </c>
      <c r="AB22" s="27">
        <v>1440</v>
      </c>
      <c r="AC22" s="32">
        <v>2</v>
      </c>
      <c r="AD22" s="33">
        <v>0</v>
      </c>
      <c r="AE22" s="27">
        <v>0</v>
      </c>
      <c r="AF22" s="224" t="str">
        <f t="shared" si="9"/>
        <v>no data</v>
      </c>
      <c r="AG22" s="225">
        <f t="shared" si="10"/>
        <v>154.95833333333334</v>
      </c>
      <c r="AH22" s="224" t="str">
        <f t="shared" si="11"/>
        <v>no data</v>
      </c>
      <c r="AI22" s="226">
        <f t="shared" si="13"/>
        <v>0</v>
      </c>
      <c r="AJ22" s="227" t="str">
        <f t="shared" si="12"/>
        <v>no data</v>
      </c>
      <c r="AK22" s="236">
        <v>0</v>
      </c>
      <c r="AL22" s="240">
        <v>0</v>
      </c>
      <c r="AM22" s="38">
        <f t="shared" si="6"/>
        <v>0</v>
      </c>
      <c r="AN22" s="236">
        <v>0</v>
      </c>
      <c r="AO22" s="330">
        <v>0</v>
      </c>
      <c r="AP22" s="39">
        <f t="shared" si="7"/>
        <v>0</v>
      </c>
      <c r="AQ22" s="201" t="str">
        <f t="shared" si="8"/>
        <v>no data</v>
      </c>
      <c r="AR22" s="198">
        <v>0</v>
      </c>
      <c r="AS22" s="13"/>
      <c r="AT22" s="27">
        <v>0</v>
      </c>
      <c r="AU22" s="40">
        <v>0</v>
      </c>
      <c r="AV22" s="40">
        <v>0</v>
      </c>
      <c r="AW22" s="27">
        <v>0</v>
      </c>
      <c r="AX22" s="40">
        <v>0</v>
      </c>
      <c r="AY22" s="27">
        <v>0</v>
      </c>
      <c r="AZ22" s="27">
        <v>2</v>
      </c>
      <c r="BA22" s="4"/>
      <c r="BB22" s="52">
        <v>0</v>
      </c>
      <c r="BC22" s="52">
        <v>0</v>
      </c>
      <c r="BD22" s="52">
        <v>0</v>
      </c>
      <c r="BE22" s="242">
        <v>0</v>
      </c>
      <c r="BF22" s="242" t="str">
        <f t="shared" si="1"/>
        <v>no data</v>
      </c>
      <c r="BG22" s="294">
        <f t="shared" si="2"/>
        <v>0</v>
      </c>
      <c r="BH22" s="295">
        <v>0</v>
      </c>
      <c r="BI22" s="44">
        <v>0</v>
      </c>
      <c r="BJ22" s="45">
        <v>0</v>
      </c>
      <c r="BK22" s="47">
        <v>0</v>
      </c>
      <c r="BL22" s="47">
        <v>0</v>
      </c>
      <c r="BM22" s="47">
        <v>0</v>
      </c>
      <c r="BN22" s="66">
        <v>1004</v>
      </c>
      <c r="BO22" s="45">
        <v>50.03</v>
      </c>
      <c r="BP22" s="48">
        <v>0</v>
      </c>
      <c r="BQ22" s="42">
        <v>0</v>
      </c>
      <c r="BR22" s="42">
        <v>0</v>
      </c>
      <c r="BS22" s="49">
        <f t="shared" si="3"/>
        <v>0</v>
      </c>
      <c r="BT22" s="41">
        <v>0</v>
      </c>
      <c r="BU22" s="41">
        <v>0</v>
      </c>
      <c r="BV22" s="51">
        <f t="shared" si="4"/>
        <v>0</v>
      </c>
      <c r="BW22" s="41">
        <v>0</v>
      </c>
      <c r="BX22" s="42">
        <v>0</v>
      </c>
      <c r="BY22" s="42">
        <v>0</v>
      </c>
      <c r="CA22" s="42">
        <v>0</v>
      </c>
      <c r="CB22" s="42">
        <v>0</v>
      </c>
      <c r="CD22" s="42">
        <v>0</v>
      </c>
      <c r="CE22" s="42">
        <v>0</v>
      </c>
      <c r="CF22" s="42">
        <v>0</v>
      </c>
      <c r="CG22" s="42">
        <v>0</v>
      </c>
    </row>
    <row r="23" spans="1:85">
      <c r="A23" s="452"/>
      <c r="B23" s="24">
        <v>43447</v>
      </c>
      <c r="C23" s="25">
        <v>57.2</v>
      </c>
      <c r="D23" s="26">
        <v>0.76400000000000001</v>
      </c>
      <c r="E23" s="38">
        <v>51.6</v>
      </c>
      <c r="F23" s="27">
        <v>72</v>
      </c>
      <c r="G23" s="27">
        <v>49</v>
      </c>
      <c r="H23" s="27">
        <v>0</v>
      </c>
      <c r="I23" s="27">
        <v>0</v>
      </c>
      <c r="J23" s="27">
        <v>0</v>
      </c>
      <c r="K23" s="27">
        <v>0</v>
      </c>
      <c r="L23" s="29">
        <v>0</v>
      </c>
      <c r="M23" s="29">
        <v>0</v>
      </c>
      <c r="N23" s="29">
        <v>0</v>
      </c>
      <c r="O23" s="29">
        <v>0</v>
      </c>
      <c r="P23" s="29">
        <v>0</v>
      </c>
      <c r="Q23" s="29">
        <v>0</v>
      </c>
      <c r="R23" s="67">
        <v>3719</v>
      </c>
      <c r="S23" s="30">
        <v>0</v>
      </c>
      <c r="T23" s="30">
        <v>0</v>
      </c>
      <c r="U23" s="59">
        <v>0</v>
      </c>
      <c r="V23" s="31">
        <v>0</v>
      </c>
      <c r="W23" s="27">
        <v>43</v>
      </c>
      <c r="X23" s="27">
        <v>1440</v>
      </c>
      <c r="Y23" s="27">
        <v>46</v>
      </c>
      <c r="Z23" s="27">
        <v>1440</v>
      </c>
      <c r="AA23" s="27">
        <v>60</v>
      </c>
      <c r="AB23" s="27">
        <v>1440</v>
      </c>
      <c r="AC23" s="32">
        <v>7</v>
      </c>
      <c r="AD23" s="33">
        <v>0</v>
      </c>
      <c r="AE23" s="27">
        <v>0</v>
      </c>
      <c r="AF23" s="224" t="str">
        <f t="shared" si="9"/>
        <v>no data</v>
      </c>
      <c r="AG23" s="225">
        <f t="shared" si="10"/>
        <v>154.95833333333334</v>
      </c>
      <c r="AH23" s="224" t="str">
        <f t="shared" si="11"/>
        <v>no data</v>
      </c>
      <c r="AI23" s="226">
        <f t="shared" si="13"/>
        <v>0</v>
      </c>
      <c r="AJ23" s="227" t="str">
        <f t="shared" si="12"/>
        <v>no data</v>
      </c>
      <c r="AK23" s="236">
        <v>0</v>
      </c>
      <c r="AL23" s="240">
        <v>0</v>
      </c>
      <c r="AM23" s="38">
        <f t="shared" si="6"/>
        <v>0</v>
      </c>
      <c r="AN23" s="236">
        <v>0</v>
      </c>
      <c r="AO23" s="330">
        <v>0</v>
      </c>
      <c r="AP23" s="39">
        <f t="shared" si="7"/>
        <v>0</v>
      </c>
      <c r="AQ23" s="201" t="str">
        <f t="shared" si="8"/>
        <v>no data</v>
      </c>
      <c r="AR23" s="198">
        <v>0</v>
      </c>
      <c r="AS23" s="13"/>
      <c r="AT23" s="27">
        <v>0</v>
      </c>
      <c r="AU23" s="40">
        <v>0</v>
      </c>
      <c r="AV23" s="40">
        <v>0</v>
      </c>
      <c r="AW23" s="27">
        <v>0</v>
      </c>
      <c r="AX23" s="40">
        <v>0</v>
      </c>
      <c r="AY23" s="27">
        <v>0</v>
      </c>
      <c r="AZ23" s="27">
        <v>7</v>
      </c>
      <c r="BA23" s="4"/>
      <c r="BB23" s="52">
        <v>0</v>
      </c>
      <c r="BC23" s="52">
        <v>0</v>
      </c>
      <c r="BD23" s="52">
        <v>0</v>
      </c>
      <c r="BE23" s="242">
        <v>0</v>
      </c>
      <c r="BF23" s="242" t="str">
        <f t="shared" si="1"/>
        <v>no data</v>
      </c>
      <c r="BG23" s="294">
        <f t="shared" si="2"/>
        <v>0</v>
      </c>
      <c r="BH23" s="295">
        <v>0</v>
      </c>
      <c r="BI23" s="44">
        <v>0</v>
      </c>
      <c r="BJ23" s="45">
        <v>0</v>
      </c>
      <c r="BK23" s="47">
        <v>0</v>
      </c>
      <c r="BL23" s="47">
        <v>0</v>
      </c>
      <c r="BM23" s="47">
        <v>0</v>
      </c>
      <c r="BN23" s="47">
        <v>1004</v>
      </c>
      <c r="BO23" s="45"/>
      <c r="BP23" s="48">
        <v>0</v>
      </c>
      <c r="BQ23" s="42">
        <v>0</v>
      </c>
      <c r="BR23" s="42">
        <v>0</v>
      </c>
      <c r="BS23" s="49">
        <f t="shared" si="3"/>
        <v>0</v>
      </c>
      <c r="BT23" s="41">
        <v>0</v>
      </c>
      <c r="BU23" s="41">
        <v>0</v>
      </c>
      <c r="BV23" s="51">
        <f t="shared" si="4"/>
        <v>0</v>
      </c>
      <c r="BW23" s="41">
        <f t="shared" si="5"/>
        <v>0</v>
      </c>
      <c r="BX23" s="42">
        <v>0</v>
      </c>
      <c r="BY23" s="42">
        <v>0</v>
      </c>
      <c r="CA23" s="42">
        <v>0</v>
      </c>
      <c r="CB23" s="42">
        <v>0</v>
      </c>
      <c r="CD23" s="42">
        <v>0</v>
      </c>
      <c r="CE23" s="42">
        <v>0</v>
      </c>
      <c r="CF23" s="42">
        <v>0</v>
      </c>
      <c r="CG23" s="42">
        <v>0</v>
      </c>
    </row>
    <row r="24" spans="1:85">
      <c r="A24" s="452"/>
      <c r="B24" s="24">
        <v>43448</v>
      </c>
      <c r="C24" s="25">
        <v>59</v>
      </c>
      <c r="D24" s="26">
        <v>0.68799999999999994</v>
      </c>
      <c r="E24" s="38">
        <v>50.4</v>
      </c>
      <c r="F24" s="28">
        <v>75</v>
      </c>
      <c r="G24" s="28">
        <v>49</v>
      </c>
      <c r="H24" s="28">
        <v>0</v>
      </c>
      <c r="I24" s="28">
        <v>0</v>
      </c>
      <c r="J24" s="28">
        <v>0</v>
      </c>
      <c r="K24" s="28">
        <v>0</v>
      </c>
      <c r="L24" s="28">
        <v>0</v>
      </c>
      <c r="M24" s="28">
        <v>0</v>
      </c>
      <c r="N24" s="28">
        <v>0</v>
      </c>
      <c r="O24" s="28">
        <v>0</v>
      </c>
      <c r="P24" s="28">
        <v>0</v>
      </c>
      <c r="Q24" s="28">
        <v>0</v>
      </c>
      <c r="R24" s="67">
        <v>3718</v>
      </c>
      <c r="S24" s="68">
        <v>0</v>
      </c>
      <c r="T24" s="69">
        <v>0</v>
      </c>
      <c r="U24" s="70">
        <v>0</v>
      </c>
      <c r="V24" s="70">
        <v>0</v>
      </c>
      <c r="W24" s="28">
        <v>43</v>
      </c>
      <c r="X24" s="28">
        <v>1440</v>
      </c>
      <c r="Y24" s="28">
        <v>46</v>
      </c>
      <c r="Z24" s="28">
        <v>1440</v>
      </c>
      <c r="AA24" s="28">
        <v>60</v>
      </c>
      <c r="AB24" s="28">
        <v>1440</v>
      </c>
      <c r="AC24" s="32">
        <v>9</v>
      </c>
      <c r="AD24" s="33">
        <v>0</v>
      </c>
      <c r="AE24" s="28">
        <v>0</v>
      </c>
      <c r="AF24" s="224" t="str">
        <f t="shared" si="9"/>
        <v>no data</v>
      </c>
      <c r="AG24" s="225">
        <f t="shared" si="10"/>
        <v>154.91666666666666</v>
      </c>
      <c r="AH24" s="224" t="str">
        <f t="shared" si="11"/>
        <v>no data</v>
      </c>
      <c r="AI24" s="226">
        <f t="shared" si="13"/>
        <v>0</v>
      </c>
      <c r="AJ24" s="227" t="str">
        <f t="shared" si="12"/>
        <v>no data</v>
      </c>
      <c r="AK24" s="236">
        <v>0</v>
      </c>
      <c r="AL24" s="240">
        <v>0</v>
      </c>
      <c r="AM24" s="38">
        <f t="shared" si="6"/>
        <v>0</v>
      </c>
      <c r="AN24" s="236">
        <v>0</v>
      </c>
      <c r="AO24" s="330">
        <v>989.5</v>
      </c>
      <c r="AP24" s="39">
        <f t="shared" si="7"/>
        <v>0</v>
      </c>
      <c r="AQ24" s="201" t="str">
        <f t="shared" si="8"/>
        <v>no data</v>
      </c>
      <c r="AR24" s="198">
        <v>0</v>
      </c>
      <c r="AS24" s="13"/>
      <c r="AT24" s="28">
        <v>0</v>
      </c>
      <c r="AU24" s="28">
        <v>0</v>
      </c>
      <c r="AV24" s="28">
        <v>0</v>
      </c>
      <c r="AW24" s="28">
        <v>0</v>
      </c>
      <c r="AX24" s="28">
        <v>0</v>
      </c>
      <c r="AY24" s="28">
        <v>0</v>
      </c>
      <c r="AZ24" s="28">
        <v>9</v>
      </c>
      <c r="BA24" s="4"/>
      <c r="BB24" s="52">
        <v>0</v>
      </c>
      <c r="BC24" s="52">
        <v>0</v>
      </c>
      <c r="BD24" s="52">
        <v>0</v>
      </c>
      <c r="BE24" s="242">
        <v>0</v>
      </c>
      <c r="BF24" s="242" t="str">
        <f t="shared" si="1"/>
        <v>no data</v>
      </c>
      <c r="BG24" s="294">
        <f t="shared" si="2"/>
        <v>0</v>
      </c>
      <c r="BH24" s="409">
        <v>0</v>
      </c>
      <c r="BI24" s="71">
        <v>0</v>
      </c>
      <c r="BJ24" s="72">
        <v>0</v>
      </c>
      <c r="BK24" s="72">
        <v>0</v>
      </c>
      <c r="BL24" s="72">
        <v>0</v>
      </c>
      <c r="BM24" s="72">
        <v>0</v>
      </c>
      <c r="BN24" s="73">
        <v>1004</v>
      </c>
      <c r="BO24" s="73">
        <v>50.02</v>
      </c>
      <c r="BP24" s="74">
        <v>0</v>
      </c>
      <c r="BQ24" s="54">
        <v>0</v>
      </c>
      <c r="BR24" s="54">
        <v>0</v>
      </c>
      <c r="BS24" s="49">
        <f t="shared" si="3"/>
        <v>0</v>
      </c>
      <c r="BT24" s="55">
        <v>0</v>
      </c>
      <c r="BU24" s="55">
        <v>0</v>
      </c>
      <c r="BV24" s="51">
        <f t="shared" si="4"/>
        <v>0</v>
      </c>
      <c r="BW24" s="41">
        <f t="shared" si="5"/>
        <v>0</v>
      </c>
      <c r="BX24" s="73">
        <v>0</v>
      </c>
      <c r="BY24" s="73">
        <v>0</v>
      </c>
      <c r="CA24" s="73">
        <v>0</v>
      </c>
      <c r="CB24" s="73">
        <v>0</v>
      </c>
      <c r="CD24" s="73">
        <v>0</v>
      </c>
      <c r="CE24" s="73">
        <v>0</v>
      </c>
      <c r="CF24" s="73">
        <v>0</v>
      </c>
      <c r="CG24" s="73">
        <v>0</v>
      </c>
    </row>
    <row r="25" spans="1:85">
      <c r="A25" s="452"/>
      <c r="B25" s="24">
        <v>43449</v>
      </c>
      <c r="C25" s="25">
        <v>55.8</v>
      </c>
      <c r="D25" s="26">
        <v>0.72299999999999998</v>
      </c>
      <c r="E25" s="38">
        <v>49.7</v>
      </c>
      <c r="F25" s="75">
        <v>77</v>
      </c>
      <c r="G25" s="75">
        <v>45</v>
      </c>
      <c r="H25" s="27">
        <v>0</v>
      </c>
      <c r="I25" s="27">
        <v>0</v>
      </c>
      <c r="J25" s="27">
        <v>0</v>
      </c>
      <c r="K25" s="27">
        <v>0</v>
      </c>
      <c r="L25" s="29">
        <v>0</v>
      </c>
      <c r="M25" s="29">
        <v>0</v>
      </c>
      <c r="N25" s="29">
        <v>0</v>
      </c>
      <c r="O25" s="29">
        <v>0</v>
      </c>
      <c r="P25" s="29">
        <v>0</v>
      </c>
      <c r="Q25" s="29">
        <v>0</v>
      </c>
      <c r="R25" s="67">
        <v>3718</v>
      </c>
      <c r="S25" s="68">
        <v>0</v>
      </c>
      <c r="T25" s="76">
        <v>0</v>
      </c>
      <c r="U25" s="31">
        <v>0</v>
      </c>
      <c r="V25" s="31">
        <v>0</v>
      </c>
      <c r="W25" s="27">
        <v>43</v>
      </c>
      <c r="X25" s="27">
        <v>1440</v>
      </c>
      <c r="Y25" s="27">
        <v>46</v>
      </c>
      <c r="Z25" s="27">
        <v>1440</v>
      </c>
      <c r="AA25" s="27">
        <v>60</v>
      </c>
      <c r="AB25" s="27">
        <v>1440</v>
      </c>
      <c r="AC25" s="32">
        <v>13</v>
      </c>
      <c r="AD25" s="33">
        <v>0</v>
      </c>
      <c r="AE25" s="28">
        <v>0</v>
      </c>
      <c r="AF25" s="224" t="str">
        <f t="shared" si="9"/>
        <v>no data</v>
      </c>
      <c r="AG25" s="225">
        <f t="shared" si="10"/>
        <v>154.91666666666666</v>
      </c>
      <c r="AH25" s="224" t="str">
        <f t="shared" si="11"/>
        <v>no data</v>
      </c>
      <c r="AI25" s="226">
        <f t="shared" si="13"/>
        <v>0</v>
      </c>
      <c r="AJ25" s="227" t="str">
        <f t="shared" si="12"/>
        <v>no data</v>
      </c>
      <c r="AK25" s="236">
        <v>0</v>
      </c>
      <c r="AL25" s="240">
        <v>0</v>
      </c>
      <c r="AM25" s="38">
        <f t="shared" si="6"/>
        <v>0</v>
      </c>
      <c r="AN25" s="236">
        <v>0</v>
      </c>
      <c r="AO25" s="330">
        <v>984.5</v>
      </c>
      <c r="AP25" s="39">
        <f t="shared" si="7"/>
        <v>0</v>
      </c>
      <c r="AQ25" s="201" t="str">
        <f t="shared" si="8"/>
        <v>no data</v>
      </c>
      <c r="AR25" s="198">
        <v>0</v>
      </c>
      <c r="AS25" s="13"/>
      <c r="AT25" s="28">
        <v>0</v>
      </c>
      <c r="AU25" s="28">
        <v>0</v>
      </c>
      <c r="AV25" s="28">
        <v>0</v>
      </c>
      <c r="AW25" s="28">
        <v>0</v>
      </c>
      <c r="AX25" s="28">
        <v>0</v>
      </c>
      <c r="AY25" s="28">
        <v>0</v>
      </c>
      <c r="AZ25" s="28">
        <v>13</v>
      </c>
      <c r="BA25" s="4"/>
      <c r="BB25" s="52">
        <v>0</v>
      </c>
      <c r="BC25" s="52">
        <v>0</v>
      </c>
      <c r="BD25" s="52">
        <v>0</v>
      </c>
      <c r="BE25" s="242">
        <v>0</v>
      </c>
      <c r="BF25" s="242" t="str">
        <f t="shared" si="1"/>
        <v>no data</v>
      </c>
      <c r="BG25" s="294">
        <f t="shared" si="2"/>
        <v>0</v>
      </c>
      <c r="BH25" s="295">
        <v>0</v>
      </c>
      <c r="BI25" s="43">
        <v>0</v>
      </c>
      <c r="BJ25" s="45">
        <v>0</v>
      </c>
      <c r="BK25" s="47">
        <v>0</v>
      </c>
      <c r="BL25" s="47">
        <v>0</v>
      </c>
      <c r="BM25" s="47">
        <v>0</v>
      </c>
      <c r="BN25" s="47">
        <v>1004</v>
      </c>
      <c r="BO25" s="45">
        <v>50.02</v>
      </c>
      <c r="BP25" s="48">
        <v>0</v>
      </c>
      <c r="BQ25" s="54">
        <v>0</v>
      </c>
      <c r="BR25" s="54">
        <v>0</v>
      </c>
      <c r="BS25" s="49">
        <f t="shared" si="3"/>
        <v>0</v>
      </c>
      <c r="BT25" s="55">
        <v>0</v>
      </c>
      <c r="BU25" s="55">
        <v>0</v>
      </c>
      <c r="BV25" s="51">
        <f t="shared" si="4"/>
        <v>0</v>
      </c>
      <c r="BW25" s="41">
        <f t="shared" si="5"/>
        <v>0</v>
      </c>
      <c r="BX25" s="42">
        <v>0</v>
      </c>
      <c r="BY25" s="42">
        <v>0</v>
      </c>
      <c r="CA25" s="42">
        <v>0</v>
      </c>
      <c r="CB25" s="42">
        <v>0</v>
      </c>
      <c r="CD25" s="42">
        <v>0</v>
      </c>
      <c r="CE25" s="42">
        <v>0</v>
      </c>
      <c r="CF25" s="42">
        <v>0</v>
      </c>
      <c r="CG25" s="42">
        <v>0</v>
      </c>
    </row>
    <row r="26" spans="1:85">
      <c r="A26" s="453"/>
      <c r="B26" s="24">
        <v>43450</v>
      </c>
      <c r="C26" s="25">
        <v>57.7</v>
      </c>
      <c r="D26" s="26">
        <v>0.60599999999999998</v>
      </c>
      <c r="E26" s="38">
        <v>47.6</v>
      </c>
      <c r="F26" s="28">
        <v>73</v>
      </c>
      <c r="G26" s="28">
        <v>47</v>
      </c>
      <c r="H26" s="27">
        <v>0</v>
      </c>
      <c r="I26" s="27">
        <v>0</v>
      </c>
      <c r="J26" s="27">
        <v>0</v>
      </c>
      <c r="K26" s="27">
        <v>0</v>
      </c>
      <c r="L26" s="29">
        <v>0</v>
      </c>
      <c r="M26" s="29">
        <v>0</v>
      </c>
      <c r="N26" s="29">
        <v>0</v>
      </c>
      <c r="O26" s="29">
        <v>0</v>
      </c>
      <c r="P26" s="29">
        <v>0</v>
      </c>
      <c r="Q26" s="29">
        <v>0</v>
      </c>
      <c r="R26" s="67">
        <v>3716</v>
      </c>
      <c r="S26" s="68">
        <v>0</v>
      </c>
      <c r="T26" s="76">
        <v>0</v>
      </c>
      <c r="U26" s="31">
        <v>299</v>
      </c>
      <c r="V26" s="31">
        <v>322</v>
      </c>
      <c r="W26" s="27">
        <v>43</v>
      </c>
      <c r="X26" s="28">
        <v>1440</v>
      </c>
      <c r="Y26" s="28">
        <v>46</v>
      </c>
      <c r="Z26" s="28">
        <v>1440</v>
      </c>
      <c r="AA26" s="28">
        <v>60</v>
      </c>
      <c r="AB26" s="28">
        <v>1440</v>
      </c>
      <c r="AC26" s="32">
        <v>34</v>
      </c>
      <c r="AD26" s="33">
        <v>0</v>
      </c>
      <c r="AE26" s="28">
        <v>72</v>
      </c>
      <c r="AF26" s="224">
        <f t="shared" si="9"/>
        <v>0.18634259259259259</v>
      </c>
      <c r="AG26" s="225">
        <f t="shared" si="10"/>
        <v>154.83333333333334</v>
      </c>
      <c r="AH26" s="224">
        <f t="shared" si="11"/>
        <v>8.0462863293864373E-2</v>
      </c>
      <c r="AI26" s="226">
        <f t="shared" si="13"/>
        <v>0</v>
      </c>
      <c r="AJ26" s="227">
        <f t="shared" si="12"/>
        <v>0</v>
      </c>
      <c r="AK26" s="236">
        <v>1.853</v>
      </c>
      <c r="AL26" s="240">
        <v>164.84</v>
      </c>
      <c r="AM26" s="38">
        <f t="shared" si="6"/>
        <v>305.44852000000003</v>
      </c>
      <c r="AN26" s="236">
        <v>3.2629999999999999</v>
      </c>
      <c r="AO26" s="330">
        <v>990.34450000000004</v>
      </c>
      <c r="AP26" s="39">
        <f t="shared" si="7"/>
        <v>3231.4941035000002</v>
      </c>
      <c r="AQ26" s="201">
        <f t="shared" si="8"/>
        <v>11829.239543478261</v>
      </c>
      <c r="AR26" s="198">
        <v>0</v>
      </c>
      <c r="AS26" s="13"/>
      <c r="AT26" s="27">
        <v>0</v>
      </c>
      <c r="AU26" s="40">
        <v>0</v>
      </c>
      <c r="AV26" s="40">
        <v>0</v>
      </c>
      <c r="AW26" s="27">
        <v>0</v>
      </c>
      <c r="AX26" s="40">
        <v>0</v>
      </c>
      <c r="AY26" s="27">
        <v>0</v>
      </c>
      <c r="AZ26" s="27">
        <v>11</v>
      </c>
      <c r="BA26" s="4"/>
      <c r="BB26" s="52">
        <v>0</v>
      </c>
      <c r="BC26" s="52">
        <v>264</v>
      </c>
      <c r="BD26" s="52">
        <v>58</v>
      </c>
      <c r="BE26" s="242">
        <f>BC26-BB26</f>
        <v>264</v>
      </c>
      <c r="BF26" s="242">
        <f t="shared" si="1"/>
        <v>11829.239543478261</v>
      </c>
      <c r="BG26" s="294">
        <f t="shared" si="2"/>
        <v>2.4166666666666665</v>
      </c>
      <c r="BH26" s="295">
        <v>0</v>
      </c>
      <c r="BI26" s="44">
        <v>0</v>
      </c>
      <c r="BJ26" s="45">
        <v>0</v>
      </c>
      <c r="BK26" s="47">
        <v>0</v>
      </c>
      <c r="BL26" s="47">
        <v>16.21</v>
      </c>
      <c r="BM26" s="47">
        <v>15.45</v>
      </c>
      <c r="BN26" s="47">
        <v>1008</v>
      </c>
      <c r="BO26" s="45">
        <v>50.08</v>
      </c>
      <c r="BP26" s="48">
        <v>0</v>
      </c>
      <c r="BQ26" s="54">
        <v>0</v>
      </c>
      <c r="BR26" s="54">
        <v>86.81</v>
      </c>
      <c r="BS26" s="49">
        <f t="shared" si="3"/>
        <v>86.81</v>
      </c>
      <c r="BT26" s="55">
        <v>0</v>
      </c>
      <c r="BU26" s="55">
        <v>13220</v>
      </c>
      <c r="BV26" s="51">
        <f t="shared" si="4"/>
        <v>13220</v>
      </c>
      <c r="BW26" s="41">
        <f t="shared" si="5"/>
        <v>0</v>
      </c>
      <c r="BX26" s="42">
        <v>0</v>
      </c>
      <c r="BY26" s="42">
        <v>0</v>
      </c>
      <c r="CA26" s="42">
        <v>0</v>
      </c>
      <c r="CB26" s="42">
        <v>5.5</v>
      </c>
      <c r="CD26" s="42">
        <v>0</v>
      </c>
      <c r="CE26" s="42">
        <v>0</v>
      </c>
      <c r="CF26" s="42">
        <v>0</v>
      </c>
      <c r="CG26" s="42">
        <v>0</v>
      </c>
    </row>
    <row r="27" spans="1:85" ht="12.75" customHeight="1">
      <c r="A27" s="451" t="s">
        <v>326</v>
      </c>
      <c r="B27" s="24">
        <v>43451</v>
      </c>
      <c r="C27" s="157">
        <v>58</v>
      </c>
      <c r="D27" s="197">
        <v>0.60799999999999998</v>
      </c>
      <c r="E27" s="171">
        <v>47.8</v>
      </c>
      <c r="F27" s="160">
        <v>75</v>
      </c>
      <c r="G27" s="160">
        <v>47</v>
      </c>
      <c r="H27" s="160">
        <v>0</v>
      </c>
      <c r="I27" s="160">
        <v>0</v>
      </c>
      <c r="J27" s="160">
        <v>7</v>
      </c>
      <c r="K27" s="160">
        <v>25</v>
      </c>
      <c r="L27" s="188">
        <v>0</v>
      </c>
      <c r="M27" s="188">
        <v>0</v>
      </c>
      <c r="N27" s="188">
        <v>0</v>
      </c>
      <c r="O27" s="188">
        <v>56</v>
      </c>
      <c r="P27" s="188">
        <v>0</v>
      </c>
      <c r="Q27" s="188">
        <v>0</v>
      </c>
      <c r="R27" s="189">
        <v>3713</v>
      </c>
      <c r="S27" s="190">
        <v>664</v>
      </c>
      <c r="T27" s="190">
        <v>569</v>
      </c>
      <c r="U27" s="164">
        <v>571</v>
      </c>
      <c r="V27" s="164">
        <v>597</v>
      </c>
      <c r="W27" s="160">
        <v>43</v>
      </c>
      <c r="X27" s="160">
        <v>1440</v>
      </c>
      <c r="Y27" s="160">
        <v>48</v>
      </c>
      <c r="Z27" s="160">
        <v>870</v>
      </c>
      <c r="AA27" s="160">
        <v>60</v>
      </c>
      <c r="AB27" s="160">
        <v>1005</v>
      </c>
      <c r="AC27" s="165">
        <f>V27-U27+AZ27</f>
        <v>37</v>
      </c>
      <c r="AD27" s="166">
        <f>U27-T27</f>
        <v>2</v>
      </c>
      <c r="AE27" s="160">
        <v>79</v>
      </c>
      <c r="AF27" s="402">
        <f t="shared" si="9"/>
        <v>0.314873417721519</v>
      </c>
      <c r="AG27" s="405">
        <f t="shared" si="10"/>
        <v>154.70833333333334</v>
      </c>
      <c r="AH27" s="402">
        <f t="shared" si="11"/>
        <v>0.15378400215459198</v>
      </c>
      <c r="AI27" s="406">
        <f t="shared" si="13"/>
        <v>0.24586092715231792</v>
      </c>
      <c r="AJ27" s="403">
        <f t="shared" si="12"/>
        <v>0.16708057395143483</v>
      </c>
      <c r="AK27" s="236">
        <v>2.7</v>
      </c>
      <c r="AL27" s="239">
        <v>164.84119999999999</v>
      </c>
      <c r="AM27" s="368">
        <f t="shared" si="6"/>
        <v>445.07123999999999</v>
      </c>
      <c r="AN27" s="235">
        <v>4.9450000000000003</v>
      </c>
      <c r="AO27" s="330">
        <v>1013</v>
      </c>
      <c r="AP27" s="172">
        <f t="shared" si="7"/>
        <v>5009.2849999999999</v>
      </c>
      <c r="AQ27" s="202">
        <f t="shared" si="8"/>
        <v>9552.287635726796</v>
      </c>
      <c r="AR27" s="199">
        <f>S27/9.5</f>
        <v>69.89473684210526</v>
      </c>
      <c r="AS27" s="13"/>
      <c r="AT27" s="159">
        <v>0</v>
      </c>
      <c r="AU27" s="174">
        <v>0</v>
      </c>
      <c r="AV27" s="174">
        <v>15</v>
      </c>
      <c r="AW27" s="159">
        <v>156</v>
      </c>
      <c r="AX27" s="174">
        <v>34</v>
      </c>
      <c r="AY27" s="159">
        <v>435</v>
      </c>
      <c r="AZ27" s="159">
        <v>11</v>
      </c>
      <c r="BA27" s="4"/>
      <c r="BB27" s="175">
        <v>0</v>
      </c>
      <c r="BC27" s="175">
        <v>415</v>
      </c>
      <c r="BD27" s="175">
        <v>182</v>
      </c>
      <c r="BE27" s="175">
        <f>BC27-BB27</f>
        <v>415</v>
      </c>
      <c r="BF27" s="175">
        <f t="shared" si="1"/>
        <v>9552.287635726796</v>
      </c>
      <c r="BG27" s="177">
        <f t="shared" si="2"/>
        <v>7.583333333333333</v>
      </c>
      <c r="BH27" s="191">
        <v>0</v>
      </c>
      <c r="BI27" s="155">
        <v>0.4</v>
      </c>
      <c r="BJ27" s="181">
        <v>0</v>
      </c>
      <c r="BK27" s="192">
        <v>0</v>
      </c>
      <c r="BL27" s="192">
        <v>8.68</v>
      </c>
      <c r="BM27" s="192">
        <v>7.63</v>
      </c>
      <c r="BN27" s="192">
        <v>1004</v>
      </c>
      <c r="BO27" s="192">
        <v>50.07</v>
      </c>
      <c r="BP27" s="193">
        <v>0</v>
      </c>
      <c r="BQ27" s="194">
        <v>0</v>
      </c>
      <c r="BR27" s="194">
        <v>86.5</v>
      </c>
      <c r="BS27" s="49">
        <f t="shared" si="3"/>
        <v>86.5</v>
      </c>
      <c r="BT27" s="194">
        <v>0</v>
      </c>
      <c r="BU27" s="194">
        <v>10912</v>
      </c>
      <c r="BV27" s="51">
        <f t="shared" si="4"/>
        <v>10912</v>
      </c>
      <c r="BW27" s="175">
        <f t="shared" si="5"/>
        <v>0.4</v>
      </c>
      <c r="BX27" s="177">
        <v>0</v>
      </c>
      <c r="BY27" s="177">
        <v>5</v>
      </c>
      <c r="CA27" s="177">
        <v>0</v>
      </c>
      <c r="CB27" s="177">
        <v>0</v>
      </c>
      <c r="CD27" s="177">
        <v>0</v>
      </c>
      <c r="CE27" s="177">
        <v>0</v>
      </c>
      <c r="CF27" s="177">
        <v>0</v>
      </c>
      <c r="CG27" s="177">
        <v>0</v>
      </c>
    </row>
    <row r="28" spans="1:85">
      <c r="A28" s="452"/>
      <c r="B28" s="24">
        <v>43452</v>
      </c>
      <c r="C28" s="157">
        <v>57.8</v>
      </c>
      <c r="D28" s="197">
        <v>0.63300000000000001</v>
      </c>
      <c r="E28" s="171">
        <v>48.2</v>
      </c>
      <c r="F28" s="160">
        <v>77.2</v>
      </c>
      <c r="G28" s="160">
        <v>46.7</v>
      </c>
      <c r="H28" s="160">
        <v>0</v>
      </c>
      <c r="I28" s="160">
        <v>0</v>
      </c>
      <c r="J28" s="160">
        <v>0</v>
      </c>
      <c r="K28" s="160">
        <v>0</v>
      </c>
      <c r="L28" s="188">
        <v>0</v>
      </c>
      <c r="M28" s="188">
        <v>0</v>
      </c>
      <c r="N28" s="188">
        <v>6</v>
      </c>
      <c r="O28" s="188">
        <v>35</v>
      </c>
      <c r="P28" s="188">
        <v>0</v>
      </c>
      <c r="Q28" s="188">
        <v>0</v>
      </c>
      <c r="R28" s="189">
        <v>3715</v>
      </c>
      <c r="S28" s="163">
        <v>1824</v>
      </c>
      <c r="T28" s="163">
        <v>1824</v>
      </c>
      <c r="U28" s="164">
        <v>0</v>
      </c>
      <c r="V28" s="164">
        <v>0</v>
      </c>
      <c r="W28" s="160">
        <v>44</v>
      </c>
      <c r="X28" s="160">
        <v>1440</v>
      </c>
      <c r="Y28" s="160">
        <v>48</v>
      </c>
      <c r="Z28" s="160">
        <v>0</v>
      </c>
      <c r="AA28" s="160">
        <v>30</v>
      </c>
      <c r="AB28" s="160">
        <v>0</v>
      </c>
      <c r="AC28" s="165">
        <f>V28-U28+AZ28</f>
        <v>15</v>
      </c>
      <c r="AD28" s="166">
        <f>U28-T28</f>
        <v>-1824</v>
      </c>
      <c r="AE28" s="160">
        <v>0</v>
      </c>
      <c r="AF28" s="402" t="str">
        <f t="shared" si="9"/>
        <v>no data</v>
      </c>
      <c r="AG28" s="405">
        <f t="shared" si="10"/>
        <v>154.79166666666666</v>
      </c>
      <c r="AH28" s="402" t="str">
        <f t="shared" si="11"/>
        <v>no data</v>
      </c>
      <c r="AI28" s="406">
        <f t="shared" si="13"/>
        <v>0.6393442622950819</v>
      </c>
      <c r="AJ28" s="403" t="str">
        <f t="shared" si="12"/>
        <v>no data</v>
      </c>
      <c r="AK28" s="236">
        <v>0</v>
      </c>
      <c r="AL28" s="239">
        <v>0</v>
      </c>
      <c r="AM28" s="368">
        <v>0</v>
      </c>
      <c r="AN28" s="235">
        <v>4.6000000000000001E-4</v>
      </c>
      <c r="AO28" s="330">
        <v>1002</v>
      </c>
      <c r="AP28" s="172">
        <f t="shared" si="7"/>
        <v>0.46092</v>
      </c>
      <c r="AQ28" s="202" t="str">
        <f t="shared" si="8"/>
        <v>no data</v>
      </c>
      <c r="AR28" s="199">
        <f>S28/24</f>
        <v>76</v>
      </c>
      <c r="AS28" s="13"/>
      <c r="AT28" s="159">
        <v>0</v>
      </c>
      <c r="AU28" s="174">
        <v>0</v>
      </c>
      <c r="AV28" s="159">
        <v>0</v>
      </c>
      <c r="AW28" s="159">
        <v>0</v>
      </c>
      <c r="AX28" s="174">
        <v>0</v>
      </c>
      <c r="AY28" s="159">
        <v>0</v>
      </c>
      <c r="AZ28" s="159">
        <v>15</v>
      </c>
      <c r="BA28" s="4"/>
      <c r="BB28" s="175">
        <v>0</v>
      </c>
      <c r="BC28" s="175">
        <v>0</v>
      </c>
      <c r="BD28" s="175">
        <v>0</v>
      </c>
      <c r="BE28" s="175">
        <f t="shared" ref="BE28:BE33" si="14">BC28-BB28</f>
        <v>0</v>
      </c>
      <c r="BF28" s="175" t="str">
        <f t="shared" si="1"/>
        <v>no data</v>
      </c>
      <c r="BG28" s="177">
        <f t="shared" si="2"/>
        <v>0</v>
      </c>
      <c r="BH28" s="191">
        <v>0</v>
      </c>
      <c r="BI28" s="155">
        <v>0</v>
      </c>
      <c r="BJ28" s="181">
        <v>0</v>
      </c>
      <c r="BK28" s="192">
        <v>0</v>
      </c>
      <c r="BL28" s="192">
        <v>0</v>
      </c>
      <c r="BM28" s="192">
        <v>0</v>
      </c>
      <c r="BN28" s="195">
        <v>1003</v>
      </c>
      <c r="BO28" s="192">
        <v>50</v>
      </c>
      <c r="BP28" s="193">
        <v>0</v>
      </c>
      <c r="BQ28" s="194">
        <v>0</v>
      </c>
      <c r="BR28" s="194">
        <v>0</v>
      </c>
      <c r="BS28" s="49">
        <f t="shared" si="3"/>
        <v>0</v>
      </c>
      <c r="BT28" s="194">
        <v>0</v>
      </c>
      <c r="BU28" s="194">
        <v>0</v>
      </c>
      <c r="BV28" s="51">
        <f t="shared" si="4"/>
        <v>0</v>
      </c>
      <c r="BW28" s="175">
        <f t="shared" si="5"/>
        <v>0</v>
      </c>
      <c r="BX28" s="177">
        <v>0</v>
      </c>
      <c r="BY28" s="177">
        <v>0</v>
      </c>
      <c r="CA28" s="177">
        <v>0</v>
      </c>
      <c r="CB28" s="177">
        <v>0</v>
      </c>
      <c r="CD28" s="177">
        <v>0</v>
      </c>
      <c r="CE28" s="177">
        <v>0</v>
      </c>
      <c r="CF28" s="177">
        <v>0</v>
      </c>
      <c r="CG28" s="177">
        <v>0</v>
      </c>
    </row>
    <row r="29" spans="1:85">
      <c r="A29" s="452"/>
      <c r="B29" s="24">
        <v>43453</v>
      </c>
      <c r="C29" s="157">
        <v>57.4</v>
      </c>
      <c r="D29" s="197">
        <v>0.61699999999999999</v>
      </c>
      <c r="E29" s="171">
        <v>47.3</v>
      </c>
      <c r="F29" s="160">
        <v>77.5</v>
      </c>
      <c r="G29" s="160">
        <v>47</v>
      </c>
      <c r="H29" s="160">
        <v>0</v>
      </c>
      <c r="I29" s="160">
        <v>0</v>
      </c>
      <c r="J29" s="160">
        <v>0</v>
      </c>
      <c r="K29" s="160">
        <v>0</v>
      </c>
      <c r="L29" s="188">
        <v>0</v>
      </c>
      <c r="M29" s="188">
        <v>0</v>
      </c>
      <c r="N29" s="188">
        <v>24</v>
      </c>
      <c r="O29" s="188">
        <v>0</v>
      </c>
      <c r="P29" s="188">
        <v>0</v>
      </c>
      <c r="Q29" s="188">
        <v>0</v>
      </c>
      <c r="R29" s="189">
        <v>3718</v>
      </c>
      <c r="S29" s="163">
        <v>0</v>
      </c>
      <c r="T29" s="163">
        <v>0</v>
      </c>
      <c r="U29" s="164">
        <v>0</v>
      </c>
      <c r="V29" s="164">
        <v>0</v>
      </c>
      <c r="W29" s="160">
        <v>44</v>
      </c>
      <c r="X29" s="160">
        <v>1440</v>
      </c>
      <c r="Y29" s="160">
        <v>48</v>
      </c>
      <c r="Z29" s="160">
        <v>0</v>
      </c>
      <c r="AA29" s="160">
        <v>30</v>
      </c>
      <c r="AB29" s="160">
        <v>0</v>
      </c>
      <c r="AC29" s="165">
        <v>14</v>
      </c>
      <c r="AD29" s="166">
        <f>U29-T29</f>
        <v>0</v>
      </c>
      <c r="AE29" s="160">
        <v>0</v>
      </c>
      <c r="AF29" s="402" t="str">
        <f t="shared" si="9"/>
        <v>no data</v>
      </c>
      <c r="AG29" s="405">
        <f t="shared" si="10"/>
        <v>154.91666666666666</v>
      </c>
      <c r="AH29" s="402" t="str">
        <f t="shared" si="11"/>
        <v>no data</v>
      </c>
      <c r="AI29" s="406">
        <f t="shared" si="13"/>
        <v>0.6393442622950819</v>
      </c>
      <c r="AJ29" s="403" t="str">
        <f t="shared" si="12"/>
        <v>no data</v>
      </c>
      <c r="AK29" s="236">
        <v>0</v>
      </c>
      <c r="AL29" s="239">
        <v>0</v>
      </c>
      <c r="AM29" s="368">
        <f t="shared" si="6"/>
        <v>0</v>
      </c>
      <c r="AN29" s="235">
        <v>9.8429999999999993E-3</v>
      </c>
      <c r="AO29" s="330">
        <v>1003</v>
      </c>
      <c r="AP29" s="172">
        <f t="shared" si="7"/>
        <v>9.8725290000000001</v>
      </c>
      <c r="AQ29" s="202" t="str">
        <f t="shared" si="8"/>
        <v>no data</v>
      </c>
      <c r="AR29" s="199">
        <v>0</v>
      </c>
      <c r="AS29" s="13"/>
      <c r="AT29" s="159">
        <v>0</v>
      </c>
      <c r="AU29" s="174">
        <v>0</v>
      </c>
      <c r="AV29" s="174">
        <v>0</v>
      </c>
      <c r="AW29" s="159">
        <v>0</v>
      </c>
      <c r="AX29" s="174">
        <v>0</v>
      </c>
      <c r="AY29" s="159">
        <v>0</v>
      </c>
      <c r="AZ29" s="159">
        <v>14</v>
      </c>
      <c r="BA29" s="4"/>
      <c r="BB29" s="175">
        <v>0</v>
      </c>
      <c r="BC29" s="175">
        <v>0</v>
      </c>
      <c r="BD29" s="175">
        <v>0</v>
      </c>
      <c r="BE29" s="175">
        <v>0</v>
      </c>
      <c r="BF29" s="175" t="str">
        <f t="shared" si="1"/>
        <v>no data</v>
      </c>
      <c r="BG29" s="177">
        <f t="shared" si="2"/>
        <v>0</v>
      </c>
      <c r="BH29" s="191">
        <v>0</v>
      </c>
      <c r="BI29" s="155">
        <v>0</v>
      </c>
      <c r="BJ29" s="181">
        <v>0</v>
      </c>
      <c r="BK29" s="192">
        <v>0</v>
      </c>
      <c r="BL29" s="192">
        <v>0</v>
      </c>
      <c r="BM29" s="192">
        <v>0</v>
      </c>
      <c r="BN29" s="195">
        <v>1001.2</v>
      </c>
      <c r="BO29" s="181">
        <v>50.03</v>
      </c>
      <c r="BP29" s="193">
        <v>0</v>
      </c>
      <c r="BQ29" s="194">
        <v>0</v>
      </c>
      <c r="BR29" s="194">
        <v>0</v>
      </c>
      <c r="BS29" s="49">
        <f t="shared" si="3"/>
        <v>0</v>
      </c>
      <c r="BT29" s="194">
        <v>0</v>
      </c>
      <c r="BU29" s="194">
        <v>0</v>
      </c>
      <c r="BV29" s="51">
        <f t="shared" si="4"/>
        <v>0</v>
      </c>
      <c r="BW29" s="175">
        <f t="shared" si="5"/>
        <v>0</v>
      </c>
      <c r="BX29" s="177">
        <v>0</v>
      </c>
      <c r="BY29" s="177">
        <v>0</v>
      </c>
      <c r="CA29" s="177">
        <v>0</v>
      </c>
      <c r="CB29" s="177">
        <v>0</v>
      </c>
      <c r="CD29" s="177">
        <v>0</v>
      </c>
      <c r="CE29" s="177">
        <v>0</v>
      </c>
      <c r="CF29" s="177">
        <v>0</v>
      </c>
      <c r="CG29" s="177">
        <v>0</v>
      </c>
    </row>
    <row r="30" spans="1:85">
      <c r="A30" s="452"/>
      <c r="B30" s="24">
        <v>43454</v>
      </c>
      <c r="C30" s="157">
        <v>56.8</v>
      </c>
      <c r="D30" s="197">
        <v>0.64</v>
      </c>
      <c r="E30" s="171">
        <v>47.6</v>
      </c>
      <c r="F30" s="160">
        <v>73</v>
      </c>
      <c r="G30" s="160">
        <v>47</v>
      </c>
      <c r="H30" s="160">
        <v>0</v>
      </c>
      <c r="I30" s="160">
        <v>0</v>
      </c>
      <c r="J30" s="160">
        <v>0</v>
      </c>
      <c r="K30" s="160">
        <v>0</v>
      </c>
      <c r="L30" s="188">
        <v>0</v>
      </c>
      <c r="M30" s="188">
        <v>0</v>
      </c>
      <c r="N30" s="188">
        <v>24</v>
      </c>
      <c r="O30" s="188">
        <v>0</v>
      </c>
      <c r="P30" s="188">
        <v>0</v>
      </c>
      <c r="Q30" s="188">
        <v>0</v>
      </c>
      <c r="R30" s="189">
        <v>3718</v>
      </c>
      <c r="S30" s="163">
        <v>0</v>
      </c>
      <c r="T30" s="163">
        <v>0</v>
      </c>
      <c r="U30" s="164">
        <v>0</v>
      </c>
      <c r="V30" s="164">
        <v>0</v>
      </c>
      <c r="W30" s="160">
        <v>44</v>
      </c>
      <c r="X30" s="160">
        <v>1440</v>
      </c>
      <c r="Y30" s="160">
        <v>48</v>
      </c>
      <c r="Z30" s="160">
        <v>0</v>
      </c>
      <c r="AA30" s="160">
        <v>30</v>
      </c>
      <c r="AB30" s="160">
        <v>0</v>
      </c>
      <c r="AC30" s="165">
        <v>12</v>
      </c>
      <c r="AD30" s="166">
        <v>0</v>
      </c>
      <c r="AE30" s="160">
        <v>0</v>
      </c>
      <c r="AF30" s="402" t="str">
        <f t="shared" si="9"/>
        <v>no data</v>
      </c>
      <c r="AG30" s="405">
        <f t="shared" si="10"/>
        <v>154.91666666666666</v>
      </c>
      <c r="AH30" s="402" t="str">
        <f t="shared" si="11"/>
        <v>no data</v>
      </c>
      <c r="AI30" s="406">
        <f t="shared" si="13"/>
        <v>0.6393442622950819</v>
      </c>
      <c r="AJ30" s="403" t="str">
        <f t="shared" si="12"/>
        <v>no data</v>
      </c>
      <c r="AK30" s="236">
        <v>0</v>
      </c>
      <c r="AL30" s="239">
        <v>0</v>
      </c>
      <c r="AM30" s="368">
        <f t="shared" si="6"/>
        <v>0</v>
      </c>
      <c r="AN30" s="235">
        <v>9.9869999999999994E-3</v>
      </c>
      <c r="AO30" s="330">
        <v>1003</v>
      </c>
      <c r="AP30" s="172">
        <f t="shared" si="7"/>
        <v>10.016961</v>
      </c>
      <c r="AQ30" s="202" t="str">
        <f t="shared" si="8"/>
        <v>no data</v>
      </c>
      <c r="AR30" s="199">
        <v>0</v>
      </c>
      <c r="AS30" s="13"/>
      <c r="AT30" s="159">
        <v>0</v>
      </c>
      <c r="AU30" s="174">
        <v>0</v>
      </c>
      <c r="AV30" s="174">
        <v>0</v>
      </c>
      <c r="AW30" s="159">
        <v>0</v>
      </c>
      <c r="AX30" s="174">
        <v>0</v>
      </c>
      <c r="AY30" s="159">
        <v>0</v>
      </c>
      <c r="AZ30" s="159">
        <v>12</v>
      </c>
      <c r="BA30" s="4"/>
      <c r="BB30" s="175">
        <v>0</v>
      </c>
      <c r="BC30" s="175">
        <v>0</v>
      </c>
      <c r="BD30" s="175">
        <v>0</v>
      </c>
      <c r="BE30" s="175">
        <f t="shared" si="14"/>
        <v>0</v>
      </c>
      <c r="BF30" s="175" t="str">
        <f t="shared" si="1"/>
        <v>no data</v>
      </c>
      <c r="BG30" s="177">
        <f t="shared" si="2"/>
        <v>0</v>
      </c>
      <c r="BH30" s="191">
        <v>0</v>
      </c>
      <c r="BI30" s="155">
        <v>0</v>
      </c>
      <c r="BJ30" s="181">
        <v>0</v>
      </c>
      <c r="BK30" s="192">
        <v>0</v>
      </c>
      <c r="BL30" s="195">
        <v>0</v>
      </c>
      <c r="BM30" s="192">
        <v>0</v>
      </c>
      <c r="BN30" s="192">
        <v>1007</v>
      </c>
      <c r="BO30" s="192">
        <v>50.02</v>
      </c>
      <c r="BP30" s="193">
        <v>0</v>
      </c>
      <c r="BQ30" s="194">
        <v>0</v>
      </c>
      <c r="BR30" s="181">
        <v>0</v>
      </c>
      <c r="BS30" s="49">
        <f t="shared" si="3"/>
        <v>0</v>
      </c>
      <c r="BT30" s="194">
        <v>0</v>
      </c>
      <c r="BU30" s="175">
        <v>0</v>
      </c>
      <c r="BV30" s="51">
        <f t="shared" si="4"/>
        <v>0</v>
      </c>
      <c r="BW30" s="175">
        <f t="shared" si="5"/>
        <v>0</v>
      </c>
      <c r="BX30" s="177">
        <v>0</v>
      </c>
      <c r="BY30" s="177">
        <v>0</v>
      </c>
      <c r="CA30" s="177">
        <v>0</v>
      </c>
      <c r="CB30" s="177">
        <v>0</v>
      </c>
      <c r="CD30" s="177">
        <v>0</v>
      </c>
      <c r="CE30" s="177">
        <v>0</v>
      </c>
      <c r="CF30" s="177">
        <v>0</v>
      </c>
      <c r="CG30" s="177">
        <v>0</v>
      </c>
    </row>
    <row r="31" spans="1:85">
      <c r="A31" s="452"/>
      <c r="B31" s="24">
        <v>43455</v>
      </c>
      <c r="C31" s="157">
        <v>57</v>
      </c>
      <c r="D31" s="197">
        <v>0.68</v>
      </c>
      <c r="E31" s="171">
        <v>48</v>
      </c>
      <c r="F31" s="160">
        <v>73</v>
      </c>
      <c r="G31" s="160">
        <v>47</v>
      </c>
      <c r="H31" s="160">
        <v>0</v>
      </c>
      <c r="I31" s="160">
        <v>0</v>
      </c>
      <c r="J31" s="160">
        <v>0</v>
      </c>
      <c r="K31" s="160">
        <v>0</v>
      </c>
      <c r="L31" s="187">
        <v>0</v>
      </c>
      <c r="M31" s="187">
        <v>0</v>
      </c>
      <c r="N31" s="187">
        <v>24</v>
      </c>
      <c r="O31" s="187">
        <v>0</v>
      </c>
      <c r="P31" s="187">
        <v>0</v>
      </c>
      <c r="Q31" s="187">
        <v>0</v>
      </c>
      <c r="R31" s="189">
        <v>3719</v>
      </c>
      <c r="S31" s="163">
        <v>0</v>
      </c>
      <c r="T31" s="163">
        <v>0</v>
      </c>
      <c r="U31" s="164">
        <v>0</v>
      </c>
      <c r="V31" s="164">
        <v>0</v>
      </c>
      <c r="W31" s="160">
        <v>44</v>
      </c>
      <c r="X31" s="160">
        <v>1440</v>
      </c>
      <c r="Y31" s="160">
        <v>48</v>
      </c>
      <c r="Z31" s="160">
        <v>0</v>
      </c>
      <c r="AA31" s="160">
        <v>30</v>
      </c>
      <c r="AB31" s="160">
        <v>0</v>
      </c>
      <c r="AC31" s="165">
        <v>13</v>
      </c>
      <c r="AD31" s="166">
        <v>0</v>
      </c>
      <c r="AE31" s="160">
        <v>0</v>
      </c>
      <c r="AF31" s="402" t="str">
        <f t="shared" si="9"/>
        <v>no data</v>
      </c>
      <c r="AG31" s="405">
        <f t="shared" si="10"/>
        <v>154.95833333333334</v>
      </c>
      <c r="AH31" s="402" t="str">
        <f t="shared" si="11"/>
        <v>no data</v>
      </c>
      <c r="AI31" s="406">
        <f t="shared" si="13"/>
        <v>0.6393442622950819</v>
      </c>
      <c r="AJ31" s="403" t="str">
        <f t="shared" si="12"/>
        <v>no data</v>
      </c>
      <c r="AK31" s="236">
        <v>0</v>
      </c>
      <c r="AL31" s="239">
        <v>0</v>
      </c>
      <c r="AM31" s="368">
        <f t="shared" si="6"/>
        <v>0</v>
      </c>
      <c r="AN31" s="235">
        <v>0</v>
      </c>
      <c r="AO31" s="330">
        <v>0</v>
      </c>
      <c r="AP31" s="172">
        <f t="shared" si="7"/>
        <v>0</v>
      </c>
      <c r="AQ31" s="202" t="str">
        <f t="shared" si="8"/>
        <v>no data</v>
      </c>
      <c r="AR31" s="199">
        <v>0</v>
      </c>
      <c r="AS31" s="13"/>
      <c r="AT31" s="159">
        <v>0</v>
      </c>
      <c r="AU31" s="174">
        <v>0</v>
      </c>
      <c r="AV31" s="174">
        <v>0</v>
      </c>
      <c r="AW31" s="159">
        <v>0</v>
      </c>
      <c r="AX31" s="174">
        <v>0</v>
      </c>
      <c r="AY31" s="159">
        <v>0</v>
      </c>
      <c r="AZ31" s="159">
        <v>13</v>
      </c>
      <c r="BA31" s="4"/>
      <c r="BB31" s="175">
        <v>0</v>
      </c>
      <c r="BC31" s="175">
        <v>0</v>
      </c>
      <c r="BD31" s="175">
        <v>0</v>
      </c>
      <c r="BE31" s="175">
        <f t="shared" si="14"/>
        <v>0</v>
      </c>
      <c r="BF31" s="175" t="str">
        <f t="shared" si="1"/>
        <v>no data</v>
      </c>
      <c r="BG31" s="177">
        <f t="shared" si="2"/>
        <v>0</v>
      </c>
      <c r="BH31" s="191">
        <v>0</v>
      </c>
      <c r="BI31" s="155">
        <v>0</v>
      </c>
      <c r="BJ31" s="181">
        <v>0</v>
      </c>
      <c r="BK31" s="192">
        <v>0</v>
      </c>
      <c r="BL31" s="195">
        <v>0</v>
      </c>
      <c r="BM31" s="192">
        <v>0</v>
      </c>
      <c r="BN31" s="192">
        <v>1006</v>
      </c>
      <c r="BO31" s="192">
        <v>50</v>
      </c>
      <c r="BP31" s="193">
        <v>0</v>
      </c>
      <c r="BQ31" s="194">
        <v>0</v>
      </c>
      <c r="BR31" s="181">
        <v>0</v>
      </c>
      <c r="BS31" s="49">
        <f t="shared" si="3"/>
        <v>0</v>
      </c>
      <c r="BT31" s="194">
        <v>0</v>
      </c>
      <c r="BU31" s="175">
        <v>0</v>
      </c>
      <c r="BV31" s="51">
        <f t="shared" si="4"/>
        <v>0</v>
      </c>
      <c r="BW31" s="175">
        <f t="shared" si="5"/>
        <v>0</v>
      </c>
      <c r="BX31" s="177">
        <v>0</v>
      </c>
      <c r="BY31" s="177">
        <v>0</v>
      </c>
      <c r="CA31" s="177">
        <v>0</v>
      </c>
      <c r="CB31" s="177">
        <v>2.5</v>
      </c>
      <c r="CD31" s="177">
        <v>0</v>
      </c>
      <c r="CE31" s="177">
        <v>0</v>
      </c>
      <c r="CF31" s="177">
        <v>0</v>
      </c>
      <c r="CG31" s="177">
        <v>0</v>
      </c>
    </row>
    <row r="32" spans="1:85">
      <c r="A32" s="452"/>
      <c r="B32" s="24">
        <v>43456</v>
      </c>
      <c r="C32" s="171">
        <v>56</v>
      </c>
      <c r="D32" s="197">
        <v>0.69</v>
      </c>
      <c r="E32" s="171">
        <v>48</v>
      </c>
      <c r="F32" s="159">
        <v>75</v>
      </c>
      <c r="G32" s="159">
        <v>46</v>
      </c>
      <c r="H32" s="160">
        <v>0</v>
      </c>
      <c r="I32" s="160">
        <v>0</v>
      </c>
      <c r="J32" s="160">
        <v>0</v>
      </c>
      <c r="K32" s="160">
        <v>0</v>
      </c>
      <c r="L32" s="187">
        <v>0</v>
      </c>
      <c r="M32" s="187">
        <v>0</v>
      </c>
      <c r="N32" s="187">
        <v>24</v>
      </c>
      <c r="O32" s="187">
        <v>0</v>
      </c>
      <c r="P32" s="187">
        <v>0</v>
      </c>
      <c r="Q32" s="187">
        <v>0</v>
      </c>
      <c r="R32" s="187">
        <v>3718</v>
      </c>
      <c r="S32" s="163">
        <v>0</v>
      </c>
      <c r="T32" s="163">
        <v>0</v>
      </c>
      <c r="U32" s="164">
        <v>0</v>
      </c>
      <c r="V32" s="164">
        <v>0</v>
      </c>
      <c r="W32" s="160">
        <v>44</v>
      </c>
      <c r="X32" s="160">
        <v>1440</v>
      </c>
      <c r="Y32" s="160">
        <v>48</v>
      </c>
      <c r="Z32" s="160">
        <v>0</v>
      </c>
      <c r="AA32" s="160">
        <v>30</v>
      </c>
      <c r="AB32" s="160">
        <v>0</v>
      </c>
      <c r="AC32" s="165">
        <v>11</v>
      </c>
      <c r="AD32" s="166">
        <v>0</v>
      </c>
      <c r="AE32" s="160">
        <v>0</v>
      </c>
      <c r="AF32" s="402" t="str">
        <f t="shared" si="9"/>
        <v>no data</v>
      </c>
      <c r="AG32" s="405">
        <f t="shared" si="10"/>
        <v>154.91666666666666</v>
      </c>
      <c r="AH32" s="402" t="str">
        <f t="shared" si="11"/>
        <v>no data</v>
      </c>
      <c r="AI32" s="406">
        <f t="shared" si="13"/>
        <v>0.6393442622950819</v>
      </c>
      <c r="AJ32" s="403" t="str">
        <f t="shared" si="12"/>
        <v>no data</v>
      </c>
      <c r="AK32" s="235">
        <v>0</v>
      </c>
      <c r="AL32" s="239">
        <v>0</v>
      </c>
      <c r="AM32" s="368">
        <f t="shared" si="6"/>
        <v>0</v>
      </c>
      <c r="AN32" s="235">
        <v>0</v>
      </c>
      <c r="AO32" s="330">
        <v>0</v>
      </c>
      <c r="AP32" s="172">
        <f t="shared" si="7"/>
        <v>0</v>
      </c>
      <c r="AQ32" s="202" t="str">
        <f t="shared" si="8"/>
        <v>no data</v>
      </c>
      <c r="AR32" s="199">
        <v>0</v>
      </c>
      <c r="AS32" s="13"/>
      <c r="AT32" s="159">
        <v>0</v>
      </c>
      <c r="AU32" s="174">
        <v>0</v>
      </c>
      <c r="AV32" s="159">
        <v>0</v>
      </c>
      <c r="AW32" s="159">
        <v>0</v>
      </c>
      <c r="AX32" s="174">
        <v>0</v>
      </c>
      <c r="AY32" s="159">
        <v>0</v>
      </c>
      <c r="AZ32" s="159">
        <v>11</v>
      </c>
      <c r="BA32" s="4"/>
      <c r="BB32" s="175">
        <v>0</v>
      </c>
      <c r="BC32" s="175">
        <v>0</v>
      </c>
      <c r="BD32" s="175">
        <v>0</v>
      </c>
      <c r="BE32" s="175">
        <v>0</v>
      </c>
      <c r="BF32" s="175" t="str">
        <f t="shared" si="1"/>
        <v>no data</v>
      </c>
      <c r="BG32" s="177">
        <f t="shared" si="2"/>
        <v>0</v>
      </c>
      <c r="BH32" s="191">
        <v>0</v>
      </c>
      <c r="BI32" s="155">
        <v>0</v>
      </c>
      <c r="BJ32" s="181">
        <v>0</v>
      </c>
      <c r="BK32" s="192">
        <v>0</v>
      </c>
      <c r="BL32" s="192">
        <v>0</v>
      </c>
      <c r="BM32" s="192">
        <v>0</v>
      </c>
      <c r="BN32" s="192">
        <v>1006</v>
      </c>
      <c r="BO32" s="192">
        <v>49.9</v>
      </c>
      <c r="BP32" s="193">
        <v>0</v>
      </c>
      <c r="BQ32" s="192">
        <v>0</v>
      </c>
      <c r="BR32" s="181">
        <v>0</v>
      </c>
      <c r="BS32" s="49">
        <f t="shared" si="3"/>
        <v>0</v>
      </c>
      <c r="BT32" s="175">
        <v>0</v>
      </c>
      <c r="BU32" s="175">
        <v>0</v>
      </c>
      <c r="BV32" s="51">
        <f t="shared" si="4"/>
        <v>0</v>
      </c>
      <c r="BW32" s="175">
        <f t="shared" si="5"/>
        <v>0</v>
      </c>
      <c r="BX32" s="177">
        <v>0</v>
      </c>
      <c r="BY32" s="177">
        <v>0</v>
      </c>
      <c r="CA32" s="177">
        <v>0</v>
      </c>
      <c r="CB32" s="177">
        <v>0</v>
      </c>
      <c r="CD32" s="177">
        <v>0</v>
      </c>
      <c r="CE32" s="177">
        <v>0</v>
      </c>
      <c r="CF32" s="177">
        <v>0</v>
      </c>
      <c r="CG32" s="177">
        <v>0</v>
      </c>
    </row>
    <row r="33" spans="1:85">
      <c r="A33" s="453"/>
      <c r="B33" s="24">
        <v>43457</v>
      </c>
      <c r="C33" s="157">
        <v>56.2</v>
      </c>
      <c r="D33" s="197">
        <v>0.69499999999999995</v>
      </c>
      <c r="E33" s="171">
        <v>48.9</v>
      </c>
      <c r="F33" s="159">
        <v>69</v>
      </c>
      <c r="G33" s="159">
        <v>46</v>
      </c>
      <c r="H33" s="160">
        <v>0</v>
      </c>
      <c r="I33" s="160">
        <v>0</v>
      </c>
      <c r="J33" s="160">
        <v>0</v>
      </c>
      <c r="K33" s="160">
        <v>0</v>
      </c>
      <c r="L33" s="187">
        <v>0</v>
      </c>
      <c r="M33" s="187">
        <v>0</v>
      </c>
      <c r="N33" s="187">
        <v>24</v>
      </c>
      <c r="O33" s="187">
        <v>0</v>
      </c>
      <c r="P33" s="187">
        <v>0</v>
      </c>
      <c r="Q33" s="187">
        <v>0</v>
      </c>
      <c r="R33" s="187">
        <v>3720</v>
      </c>
      <c r="S33" s="163">
        <v>0</v>
      </c>
      <c r="T33" s="163">
        <v>0</v>
      </c>
      <c r="U33" s="164">
        <v>0</v>
      </c>
      <c r="V33" s="164">
        <v>0</v>
      </c>
      <c r="W33" s="160">
        <v>44</v>
      </c>
      <c r="X33" s="160">
        <v>1440</v>
      </c>
      <c r="Y33" s="160">
        <v>48</v>
      </c>
      <c r="Z33" s="160">
        <v>0</v>
      </c>
      <c r="AA33" s="160">
        <v>30</v>
      </c>
      <c r="AB33" s="160">
        <v>0</v>
      </c>
      <c r="AC33" s="165">
        <v>10</v>
      </c>
      <c r="AD33" s="166">
        <v>0</v>
      </c>
      <c r="AE33" s="160">
        <v>0</v>
      </c>
      <c r="AF33" s="402" t="str">
        <f t="shared" si="9"/>
        <v>no data</v>
      </c>
      <c r="AG33" s="405">
        <f t="shared" si="10"/>
        <v>155</v>
      </c>
      <c r="AH33" s="402" t="str">
        <f t="shared" si="11"/>
        <v>no data</v>
      </c>
      <c r="AI33" s="406">
        <f t="shared" si="13"/>
        <v>0.6393442622950819</v>
      </c>
      <c r="AJ33" s="403" t="str">
        <f t="shared" si="12"/>
        <v>no data</v>
      </c>
      <c r="AK33" s="235">
        <v>0</v>
      </c>
      <c r="AL33" s="239">
        <v>0</v>
      </c>
      <c r="AM33" s="368">
        <f t="shared" si="6"/>
        <v>0</v>
      </c>
      <c r="AN33" s="235">
        <v>0</v>
      </c>
      <c r="AO33" s="330">
        <v>0</v>
      </c>
      <c r="AP33" s="172">
        <f t="shared" si="7"/>
        <v>0</v>
      </c>
      <c r="AQ33" s="202" t="str">
        <f t="shared" si="8"/>
        <v>no data</v>
      </c>
      <c r="AR33" s="199">
        <v>0</v>
      </c>
      <c r="AS33" s="13"/>
      <c r="AT33" s="159">
        <v>0</v>
      </c>
      <c r="AU33" s="174">
        <v>0</v>
      </c>
      <c r="AV33" s="159">
        <v>0</v>
      </c>
      <c r="AW33" s="159">
        <v>0</v>
      </c>
      <c r="AX33" s="174">
        <v>0</v>
      </c>
      <c r="AY33" s="159">
        <v>0</v>
      </c>
      <c r="AZ33" s="159">
        <v>10</v>
      </c>
      <c r="BA33" s="4"/>
      <c r="BB33" s="175">
        <v>0</v>
      </c>
      <c r="BC33" s="175">
        <v>0</v>
      </c>
      <c r="BD33" s="175">
        <v>0</v>
      </c>
      <c r="BE33" s="175">
        <f t="shared" si="14"/>
        <v>0</v>
      </c>
      <c r="BF33" s="175" t="str">
        <f t="shared" si="1"/>
        <v>no data</v>
      </c>
      <c r="BG33" s="177">
        <f t="shared" si="2"/>
        <v>0</v>
      </c>
      <c r="BH33" s="191">
        <v>0</v>
      </c>
      <c r="BI33" s="155">
        <v>0</v>
      </c>
      <c r="BJ33" s="181">
        <v>0</v>
      </c>
      <c r="BK33" s="192">
        <v>0</v>
      </c>
      <c r="BL33" s="192">
        <v>0</v>
      </c>
      <c r="BM33" s="192">
        <v>0</v>
      </c>
      <c r="BN33" s="192">
        <v>1006.1</v>
      </c>
      <c r="BO33" s="192">
        <v>50.09</v>
      </c>
      <c r="BP33" s="193">
        <v>0</v>
      </c>
      <c r="BQ33" s="192">
        <v>0</v>
      </c>
      <c r="BR33" s="181">
        <v>0</v>
      </c>
      <c r="BS33" s="49">
        <f t="shared" si="3"/>
        <v>0</v>
      </c>
      <c r="BT33" s="175">
        <v>0</v>
      </c>
      <c r="BU33" s="175">
        <v>0</v>
      </c>
      <c r="BV33" s="51">
        <f t="shared" si="4"/>
        <v>0</v>
      </c>
      <c r="BW33" s="175">
        <f t="shared" si="5"/>
        <v>0</v>
      </c>
      <c r="BX33" s="177">
        <v>0</v>
      </c>
      <c r="BY33" s="177">
        <v>0</v>
      </c>
      <c r="CA33" s="177">
        <v>0</v>
      </c>
      <c r="CB33" s="177">
        <v>0</v>
      </c>
      <c r="CD33" s="177">
        <v>0</v>
      </c>
      <c r="CE33" s="177">
        <v>0</v>
      </c>
      <c r="CF33" s="177">
        <v>0</v>
      </c>
      <c r="CG33" s="177">
        <v>0</v>
      </c>
    </row>
    <row r="34" spans="1:85" ht="12.75" customHeight="1">
      <c r="A34" s="451" t="s">
        <v>327</v>
      </c>
      <c r="B34" s="24">
        <v>43458</v>
      </c>
      <c r="C34" s="25">
        <v>55.2</v>
      </c>
      <c r="D34" s="26">
        <v>0.69599999999999995</v>
      </c>
      <c r="E34" s="38">
        <v>47.9</v>
      </c>
      <c r="F34" s="27">
        <v>71</v>
      </c>
      <c r="G34" s="27">
        <v>46</v>
      </c>
      <c r="H34" s="28">
        <v>0</v>
      </c>
      <c r="I34" s="28">
        <v>0</v>
      </c>
      <c r="J34" s="28">
        <v>0</v>
      </c>
      <c r="K34" s="28">
        <v>0</v>
      </c>
      <c r="L34" s="29">
        <v>0</v>
      </c>
      <c r="M34" s="29">
        <v>0</v>
      </c>
      <c r="N34" s="29">
        <v>24</v>
      </c>
      <c r="O34" s="29">
        <v>0</v>
      </c>
      <c r="P34" s="29">
        <v>0</v>
      </c>
      <c r="Q34" s="29">
        <v>0</v>
      </c>
      <c r="R34" s="29">
        <v>3720</v>
      </c>
      <c r="S34" s="30">
        <v>0</v>
      </c>
      <c r="T34" s="30">
        <v>0</v>
      </c>
      <c r="U34" s="31">
        <v>0</v>
      </c>
      <c r="V34" s="31">
        <v>0</v>
      </c>
      <c r="W34" s="28">
        <v>44</v>
      </c>
      <c r="X34" s="28">
        <v>1440</v>
      </c>
      <c r="Y34" s="28">
        <v>48</v>
      </c>
      <c r="Z34" s="28">
        <v>0</v>
      </c>
      <c r="AA34" s="28">
        <v>30</v>
      </c>
      <c r="AB34" s="27">
        <v>0</v>
      </c>
      <c r="AC34" s="32">
        <v>11</v>
      </c>
      <c r="AD34" s="33">
        <v>0</v>
      </c>
      <c r="AE34" s="27">
        <v>0</v>
      </c>
      <c r="AF34" s="224" t="str">
        <f t="shared" si="9"/>
        <v>no data</v>
      </c>
      <c r="AG34" s="225">
        <f t="shared" si="10"/>
        <v>155</v>
      </c>
      <c r="AH34" s="224" t="str">
        <f t="shared" si="11"/>
        <v>no data</v>
      </c>
      <c r="AI34" s="226">
        <f t="shared" si="13"/>
        <v>0.6393442622950819</v>
      </c>
      <c r="AJ34" s="227" t="str">
        <f t="shared" si="12"/>
        <v>no data</v>
      </c>
      <c r="AK34" s="235">
        <v>0</v>
      </c>
      <c r="AL34" s="239">
        <v>0</v>
      </c>
      <c r="AM34" s="38">
        <f t="shared" si="6"/>
        <v>0</v>
      </c>
      <c r="AN34" s="235">
        <v>0</v>
      </c>
      <c r="AO34" s="330">
        <v>0</v>
      </c>
      <c r="AP34" s="39">
        <f t="shared" si="7"/>
        <v>0</v>
      </c>
      <c r="AQ34" s="201" t="str">
        <f t="shared" si="8"/>
        <v>no data</v>
      </c>
      <c r="AR34" s="198">
        <v>0</v>
      </c>
      <c r="AS34" s="13"/>
      <c r="AT34" s="27">
        <v>0</v>
      </c>
      <c r="AU34" s="40">
        <v>0</v>
      </c>
      <c r="AV34" s="40">
        <v>0</v>
      </c>
      <c r="AW34" s="27">
        <v>0</v>
      </c>
      <c r="AX34" s="40">
        <v>0</v>
      </c>
      <c r="AY34" s="27">
        <v>0</v>
      </c>
      <c r="AZ34" s="27">
        <v>11</v>
      </c>
      <c r="BA34" s="4"/>
      <c r="BB34" s="41">
        <v>0</v>
      </c>
      <c r="BC34" s="41">
        <v>0</v>
      </c>
      <c r="BD34" s="41">
        <v>0</v>
      </c>
      <c r="BE34" s="41">
        <v>0</v>
      </c>
      <c r="BF34" s="41" t="str">
        <f t="shared" si="1"/>
        <v>no data</v>
      </c>
      <c r="BG34" s="77">
        <f t="shared" si="2"/>
        <v>0</v>
      </c>
      <c r="BH34" s="43">
        <v>0</v>
      </c>
      <c r="BI34" s="44">
        <v>0</v>
      </c>
      <c r="BJ34" s="45">
        <v>0</v>
      </c>
      <c r="BK34" s="45">
        <v>0</v>
      </c>
      <c r="BL34" s="46">
        <v>0</v>
      </c>
      <c r="BM34" s="45">
        <v>0</v>
      </c>
      <c r="BN34" s="47">
        <v>1006.5</v>
      </c>
      <c r="BO34" s="45">
        <v>50.03</v>
      </c>
      <c r="BP34" s="48">
        <v>0</v>
      </c>
      <c r="BQ34" s="52">
        <v>0</v>
      </c>
      <c r="BR34" s="45">
        <v>0</v>
      </c>
      <c r="BS34" s="49">
        <f t="shared" si="3"/>
        <v>0</v>
      </c>
      <c r="BT34" s="41">
        <v>0</v>
      </c>
      <c r="BU34" s="41">
        <v>0</v>
      </c>
      <c r="BV34" s="51">
        <f t="shared" si="4"/>
        <v>0</v>
      </c>
      <c r="BW34" s="41">
        <f t="shared" si="5"/>
        <v>0</v>
      </c>
      <c r="BX34" s="42">
        <v>0</v>
      </c>
      <c r="BY34" s="42">
        <v>0</v>
      </c>
      <c r="CA34" s="42">
        <v>0</v>
      </c>
      <c r="CB34" s="42">
        <v>0</v>
      </c>
      <c r="CD34" s="42">
        <v>0</v>
      </c>
      <c r="CE34" s="42">
        <v>0</v>
      </c>
      <c r="CF34" s="42">
        <v>0</v>
      </c>
      <c r="CG34" s="42">
        <v>0</v>
      </c>
    </row>
    <row r="35" spans="1:85">
      <c r="A35" s="452"/>
      <c r="B35" s="24">
        <v>43459</v>
      </c>
      <c r="C35" s="25">
        <v>55</v>
      </c>
      <c r="D35" s="26">
        <v>0.72799999999999998</v>
      </c>
      <c r="E35" s="38">
        <v>48.6</v>
      </c>
      <c r="F35" s="27">
        <v>70</v>
      </c>
      <c r="G35" s="27">
        <v>46</v>
      </c>
      <c r="H35" s="28">
        <v>0</v>
      </c>
      <c r="I35" s="28">
        <v>0</v>
      </c>
      <c r="J35" s="28">
        <v>0</v>
      </c>
      <c r="K35" s="28">
        <v>0</v>
      </c>
      <c r="L35" s="29">
        <v>0</v>
      </c>
      <c r="M35" s="29">
        <v>0</v>
      </c>
      <c r="N35" s="29">
        <v>24</v>
      </c>
      <c r="O35" s="29">
        <v>0</v>
      </c>
      <c r="P35" s="29">
        <v>0</v>
      </c>
      <c r="Q35" s="29">
        <v>0</v>
      </c>
      <c r="R35" s="29">
        <v>3720</v>
      </c>
      <c r="S35" s="30">
        <v>0</v>
      </c>
      <c r="T35" s="30">
        <v>0</v>
      </c>
      <c r="U35" s="31">
        <v>0</v>
      </c>
      <c r="V35" s="31">
        <v>0</v>
      </c>
      <c r="W35" s="28">
        <v>44</v>
      </c>
      <c r="X35" s="28">
        <v>1440</v>
      </c>
      <c r="Y35" s="28">
        <v>48</v>
      </c>
      <c r="Z35" s="28">
        <v>0</v>
      </c>
      <c r="AA35" s="28">
        <v>30</v>
      </c>
      <c r="AB35" s="27">
        <v>0</v>
      </c>
      <c r="AC35" s="32">
        <v>11</v>
      </c>
      <c r="AD35" s="33">
        <v>0</v>
      </c>
      <c r="AE35" s="27">
        <v>0</v>
      </c>
      <c r="AF35" s="224" t="str">
        <f t="shared" si="9"/>
        <v>no data</v>
      </c>
      <c r="AG35" s="225">
        <f t="shared" si="10"/>
        <v>155</v>
      </c>
      <c r="AH35" s="224" t="str">
        <f t="shared" si="11"/>
        <v>no data</v>
      </c>
      <c r="AI35" s="226">
        <f t="shared" si="13"/>
        <v>0.6393442622950819</v>
      </c>
      <c r="AJ35" s="227" t="str">
        <f t="shared" si="12"/>
        <v>no data</v>
      </c>
      <c r="AK35" s="235">
        <v>0</v>
      </c>
      <c r="AL35" s="239">
        <v>0</v>
      </c>
      <c r="AM35" s="38">
        <f t="shared" si="6"/>
        <v>0</v>
      </c>
      <c r="AN35" s="235">
        <v>0</v>
      </c>
      <c r="AO35" s="330">
        <v>0</v>
      </c>
      <c r="AP35" s="39">
        <f t="shared" si="7"/>
        <v>0</v>
      </c>
      <c r="AQ35" s="201" t="str">
        <f t="shared" si="8"/>
        <v>no data</v>
      </c>
      <c r="AR35" s="198">
        <v>0</v>
      </c>
      <c r="AS35" s="13"/>
      <c r="AT35" s="27">
        <v>0</v>
      </c>
      <c r="AU35" s="40">
        <v>0</v>
      </c>
      <c r="AV35" s="40">
        <v>0</v>
      </c>
      <c r="AW35" s="27">
        <v>0</v>
      </c>
      <c r="AX35" s="40">
        <v>0</v>
      </c>
      <c r="AY35" s="27">
        <v>0</v>
      </c>
      <c r="AZ35" s="27">
        <v>11</v>
      </c>
      <c r="BA35" s="4"/>
      <c r="BB35" s="41">
        <v>0</v>
      </c>
      <c r="BC35" s="41">
        <v>0</v>
      </c>
      <c r="BD35" s="41">
        <v>0</v>
      </c>
      <c r="BE35" s="41">
        <v>0</v>
      </c>
      <c r="BF35" s="41" t="str">
        <f t="shared" si="1"/>
        <v>no data</v>
      </c>
      <c r="BG35" s="77">
        <f t="shared" si="2"/>
        <v>0</v>
      </c>
      <c r="BH35" s="43">
        <v>0</v>
      </c>
      <c r="BI35" s="44">
        <v>0</v>
      </c>
      <c r="BJ35" s="45">
        <v>0</v>
      </c>
      <c r="BK35" s="45">
        <v>0</v>
      </c>
      <c r="BL35" s="46">
        <v>0</v>
      </c>
      <c r="BM35" s="45">
        <v>0</v>
      </c>
      <c r="BN35" s="47">
        <v>1006.3</v>
      </c>
      <c r="BO35" s="45">
        <v>49.97</v>
      </c>
      <c r="BP35" s="48">
        <v>0</v>
      </c>
      <c r="BQ35" s="52">
        <v>0</v>
      </c>
      <c r="BR35" s="45">
        <v>0</v>
      </c>
      <c r="BS35" s="49">
        <f t="shared" si="3"/>
        <v>0</v>
      </c>
      <c r="BT35" s="41">
        <v>0</v>
      </c>
      <c r="BU35" s="41">
        <v>0</v>
      </c>
      <c r="BV35" s="51">
        <f t="shared" si="4"/>
        <v>0</v>
      </c>
      <c r="BW35" s="41">
        <f t="shared" si="5"/>
        <v>0</v>
      </c>
      <c r="BX35" s="42">
        <v>0</v>
      </c>
      <c r="BY35" s="42">
        <v>0</v>
      </c>
      <c r="CA35" s="42">
        <v>0</v>
      </c>
      <c r="CB35" s="42">
        <v>0</v>
      </c>
      <c r="CD35" s="42">
        <v>0</v>
      </c>
      <c r="CE35" s="42">
        <v>0</v>
      </c>
      <c r="CF35" s="42">
        <v>0</v>
      </c>
      <c r="CG35" s="42">
        <v>0</v>
      </c>
    </row>
    <row r="36" spans="1:85">
      <c r="A36" s="452"/>
      <c r="B36" s="24">
        <v>43460</v>
      </c>
      <c r="C36" s="25">
        <v>53</v>
      </c>
      <c r="D36" s="26">
        <v>0.72</v>
      </c>
      <c r="E36" s="38">
        <v>47</v>
      </c>
      <c r="F36" s="27">
        <v>65</v>
      </c>
      <c r="G36" s="27">
        <v>44</v>
      </c>
      <c r="H36" s="28">
        <v>0</v>
      </c>
      <c r="I36" s="28">
        <v>0</v>
      </c>
      <c r="J36" s="28">
        <v>0</v>
      </c>
      <c r="K36" s="28">
        <v>0</v>
      </c>
      <c r="L36" s="29">
        <v>0</v>
      </c>
      <c r="M36" s="29">
        <v>0</v>
      </c>
      <c r="N36" s="29">
        <v>24</v>
      </c>
      <c r="O36" s="29">
        <v>0</v>
      </c>
      <c r="P36" s="29">
        <v>0</v>
      </c>
      <c r="Q36" s="29">
        <v>0</v>
      </c>
      <c r="R36" s="29">
        <v>3720</v>
      </c>
      <c r="S36" s="30">
        <v>0</v>
      </c>
      <c r="T36" s="30">
        <v>0</v>
      </c>
      <c r="U36" s="31">
        <v>0</v>
      </c>
      <c r="V36" s="31">
        <v>0</v>
      </c>
      <c r="W36" s="28">
        <v>44</v>
      </c>
      <c r="X36" s="28">
        <v>1440</v>
      </c>
      <c r="Y36" s="28">
        <v>48</v>
      </c>
      <c r="Z36" s="28">
        <v>0</v>
      </c>
      <c r="AA36" s="28">
        <v>30</v>
      </c>
      <c r="AB36" s="27">
        <v>0</v>
      </c>
      <c r="AC36" s="32">
        <v>13</v>
      </c>
      <c r="AD36" s="33">
        <v>0</v>
      </c>
      <c r="AE36" s="27">
        <v>0</v>
      </c>
      <c r="AF36" s="224" t="str">
        <f t="shared" si="9"/>
        <v>no data</v>
      </c>
      <c r="AG36" s="225">
        <f t="shared" si="10"/>
        <v>155</v>
      </c>
      <c r="AH36" s="224" t="str">
        <f t="shared" si="11"/>
        <v>no data</v>
      </c>
      <c r="AI36" s="226">
        <f t="shared" si="13"/>
        <v>0.6393442622950819</v>
      </c>
      <c r="AJ36" s="227" t="str">
        <f t="shared" si="12"/>
        <v>no data</v>
      </c>
      <c r="AK36" s="235">
        <v>0</v>
      </c>
      <c r="AL36" s="239">
        <v>0</v>
      </c>
      <c r="AM36" s="38">
        <f t="shared" si="6"/>
        <v>0</v>
      </c>
      <c r="AN36" s="235">
        <v>0</v>
      </c>
      <c r="AO36" s="330">
        <v>0</v>
      </c>
      <c r="AP36" s="39">
        <f t="shared" si="7"/>
        <v>0</v>
      </c>
      <c r="AQ36" s="201" t="str">
        <f t="shared" si="8"/>
        <v>no data</v>
      </c>
      <c r="AR36" s="198">
        <v>0</v>
      </c>
      <c r="AS36" s="13"/>
      <c r="AT36" s="27">
        <v>0</v>
      </c>
      <c r="AU36" s="40">
        <v>0</v>
      </c>
      <c r="AV36" s="40">
        <v>0</v>
      </c>
      <c r="AW36" s="27">
        <v>0</v>
      </c>
      <c r="AX36" s="40">
        <v>0</v>
      </c>
      <c r="AY36" s="27">
        <v>0</v>
      </c>
      <c r="AZ36" s="27">
        <v>13</v>
      </c>
      <c r="BA36" s="4"/>
      <c r="BB36" s="41">
        <v>0</v>
      </c>
      <c r="BC36" s="41">
        <v>0</v>
      </c>
      <c r="BD36" s="41">
        <v>0</v>
      </c>
      <c r="BE36" s="41">
        <v>0</v>
      </c>
      <c r="BF36" s="41" t="str">
        <f t="shared" si="1"/>
        <v>no data</v>
      </c>
      <c r="BG36" s="77">
        <f t="shared" si="2"/>
        <v>0</v>
      </c>
      <c r="BH36" s="43">
        <v>0</v>
      </c>
      <c r="BI36" s="44">
        <v>0</v>
      </c>
      <c r="BJ36" s="45">
        <v>0</v>
      </c>
      <c r="BK36" s="46">
        <v>0</v>
      </c>
      <c r="BL36" s="45">
        <v>0</v>
      </c>
      <c r="BM36" s="45">
        <v>0</v>
      </c>
      <c r="BN36" s="47">
        <v>1003.6</v>
      </c>
      <c r="BO36" s="45">
        <v>50</v>
      </c>
      <c r="BP36" s="48">
        <v>0</v>
      </c>
      <c r="BQ36" s="46">
        <v>0</v>
      </c>
      <c r="BR36" s="45">
        <v>0</v>
      </c>
      <c r="BS36" s="49">
        <f t="shared" si="3"/>
        <v>0</v>
      </c>
      <c r="BT36" s="41">
        <v>0</v>
      </c>
      <c r="BU36" s="41">
        <v>0</v>
      </c>
      <c r="BV36" s="51">
        <f t="shared" si="4"/>
        <v>0</v>
      </c>
      <c r="BW36" s="41">
        <f t="shared" si="5"/>
        <v>0</v>
      </c>
      <c r="BX36" s="42">
        <v>0</v>
      </c>
      <c r="BY36" s="42">
        <v>0</v>
      </c>
      <c r="CA36" s="42">
        <v>0</v>
      </c>
      <c r="CB36" s="42">
        <v>0</v>
      </c>
      <c r="CD36" s="42">
        <v>0</v>
      </c>
      <c r="CE36" s="42">
        <v>0</v>
      </c>
      <c r="CF36" s="42">
        <v>0</v>
      </c>
      <c r="CG36" s="42">
        <v>0</v>
      </c>
    </row>
    <row r="37" spans="1:85">
      <c r="A37" s="452"/>
      <c r="B37" s="24">
        <v>43461</v>
      </c>
      <c r="C37" s="25">
        <v>55.1</v>
      </c>
      <c r="D37" s="26">
        <v>0.67300000000000004</v>
      </c>
      <c r="E37" s="38">
        <v>47.1</v>
      </c>
      <c r="F37" s="27">
        <v>72</v>
      </c>
      <c r="G37" s="27">
        <v>45</v>
      </c>
      <c r="H37" s="28">
        <v>0</v>
      </c>
      <c r="I37" s="28">
        <v>0</v>
      </c>
      <c r="J37" s="28">
        <v>0</v>
      </c>
      <c r="K37" s="28">
        <v>0</v>
      </c>
      <c r="L37" s="29">
        <v>0</v>
      </c>
      <c r="M37" s="29">
        <v>0</v>
      </c>
      <c r="N37" s="29">
        <v>24</v>
      </c>
      <c r="O37" s="29">
        <v>0</v>
      </c>
      <c r="P37" s="29">
        <v>0</v>
      </c>
      <c r="Q37" s="29">
        <v>0</v>
      </c>
      <c r="R37" s="29">
        <v>3720</v>
      </c>
      <c r="S37" s="30">
        <v>0</v>
      </c>
      <c r="T37" s="30">
        <v>0</v>
      </c>
      <c r="U37" s="31">
        <v>0</v>
      </c>
      <c r="V37" s="31">
        <v>0</v>
      </c>
      <c r="W37" s="28">
        <v>44</v>
      </c>
      <c r="X37" s="28">
        <v>1440</v>
      </c>
      <c r="Y37" s="28">
        <v>48</v>
      </c>
      <c r="Z37" s="28">
        <v>0</v>
      </c>
      <c r="AA37" s="28">
        <v>30</v>
      </c>
      <c r="AB37" s="27">
        <v>0</v>
      </c>
      <c r="AC37" s="32">
        <v>9</v>
      </c>
      <c r="AD37" s="33">
        <v>0</v>
      </c>
      <c r="AE37" s="27">
        <v>0</v>
      </c>
      <c r="AF37" s="224" t="str">
        <f t="shared" si="9"/>
        <v>no data</v>
      </c>
      <c r="AG37" s="225">
        <f t="shared" si="10"/>
        <v>155</v>
      </c>
      <c r="AH37" s="224" t="str">
        <f t="shared" si="11"/>
        <v>no data</v>
      </c>
      <c r="AI37" s="226">
        <f t="shared" si="13"/>
        <v>0.6393442622950819</v>
      </c>
      <c r="AJ37" s="227" t="str">
        <f t="shared" si="12"/>
        <v>no data</v>
      </c>
      <c r="AK37" s="235">
        <v>0</v>
      </c>
      <c r="AL37" s="239">
        <v>0</v>
      </c>
      <c r="AM37" s="38">
        <f t="shared" si="6"/>
        <v>0</v>
      </c>
      <c r="AN37" s="235">
        <v>0</v>
      </c>
      <c r="AO37" s="330">
        <v>0</v>
      </c>
      <c r="AP37" s="39">
        <f t="shared" si="7"/>
        <v>0</v>
      </c>
      <c r="AQ37" s="201" t="str">
        <f t="shared" si="8"/>
        <v>no data</v>
      </c>
      <c r="AR37" s="198">
        <v>0</v>
      </c>
      <c r="AS37" s="13"/>
      <c r="AT37" s="27">
        <v>0</v>
      </c>
      <c r="AU37" s="40">
        <v>0</v>
      </c>
      <c r="AV37" s="40">
        <v>0</v>
      </c>
      <c r="AW37" s="27">
        <v>0</v>
      </c>
      <c r="AX37" s="40">
        <v>0</v>
      </c>
      <c r="AY37" s="27">
        <v>0</v>
      </c>
      <c r="AZ37" s="27">
        <v>9</v>
      </c>
      <c r="BA37" s="4"/>
      <c r="BB37" s="41">
        <v>0</v>
      </c>
      <c r="BC37" s="41">
        <v>0</v>
      </c>
      <c r="BD37" s="41">
        <v>0</v>
      </c>
      <c r="BE37" s="41">
        <v>0</v>
      </c>
      <c r="BF37" s="41" t="str">
        <f t="shared" si="1"/>
        <v>no data</v>
      </c>
      <c r="BG37" s="77">
        <f t="shared" si="2"/>
        <v>0</v>
      </c>
      <c r="BH37" s="43">
        <v>0</v>
      </c>
      <c r="BI37" s="44">
        <v>0</v>
      </c>
      <c r="BJ37" s="45">
        <v>0</v>
      </c>
      <c r="BK37" s="46">
        <v>0</v>
      </c>
      <c r="BL37" s="45">
        <v>0</v>
      </c>
      <c r="BM37" s="45">
        <v>0</v>
      </c>
      <c r="BN37" s="47">
        <v>1006.1</v>
      </c>
      <c r="BO37" s="45">
        <v>50</v>
      </c>
      <c r="BP37" s="53">
        <v>0</v>
      </c>
      <c r="BQ37" s="45">
        <v>0</v>
      </c>
      <c r="BR37" s="45">
        <v>0</v>
      </c>
      <c r="BS37" s="49">
        <f t="shared" si="3"/>
        <v>0</v>
      </c>
      <c r="BT37" s="41">
        <v>0</v>
      </c>
      <c r="BU37" s="41">
        <v>0</v>
      </c>
      <c r="BV37" s="51">
        <f t="shared" si="4"/>
        <v>0</v>
      </c>
      <c r="BW37" s="41">
        <f t="shared" si="5"/>
        <v>0</v>
      </c>
      <c r="BX37" s="42">
        <v>0</v>
      </c>
      <c r="BY37" s="42">
        <v>0</v>
      </c>
      <c r="CA37" s="42">
        <v>0</v>
      </c>
      <c r="CB37" s="42">
        <v>0</v>
      </c>
      <c r="CD37" s="42">
        <v>0</v>
      </c>
      <c r="CE37" s="42">
        <v>0</v>
      </c>
      <c r="CF37" s="42">
        <v>0</v>
      </c>
      <c r="CG37" s="42">
        <v>0</v>
      </c>
    </row>
    <row r="38" spans="1:85">
      <c r="A38" s="452"/>
      <c r="B38" s="24">
        <v>43462</v>
      </c>
      <c r="C38" s="25">
        <v>54.5</v>
      </c>
      <c r="D38" s="26">
        <v>0.67900000000000005</v>
      </c>
      <c r="E38" s="38">
        <v>46.3</v>
      </c>
      <c r="F38" s="27">
        <v>73</v>
      </c>
      <c r="G38" s="27">
        <v>42</v>
      </c>
      <c r="H38" s="28">
        <v>0</v>
      </c>
      <c r="I38" s="28">
        <v>0</v>
      </c>
      <c r="J38" s="28">
        <v>0</v>
      </c>
      <c r="K38" s="28">
        <v>0</v>
      </c>
      <c r="L38" s="29">
        <v>0</v>
      </c>
      <c r="M38" s="29">
        <v>0</v>
      </c>
      <c r="N38" s="29">
        <v>24</v>
      </c>
      <c r="O38" s="29">
        <v>0</v>
      </c>
      <c r="P38" s="29">
        <v>0</v>
      </c>
      <c r="Q38" s="29">
        <v>0</v>
      </c>
      <c r="R38" s="29">
        <v>3720</v>
      </c>
      <c r="S38" s="30">
        <v>0</v>
      </c>
      <c r="T38" s="30">
        <v>0</v>
      </c>
      <c r="U38" s="31">
        <v>0</v>
      </c>
      <c r="V38" s="31">
        <v>0</v>
      </c>
      <c r="W38" s="28">
        <v>44</v>
      </c>
      <c r="X38" s="28">
        <v>1440</v>
      </c>
      <c r="Y38" s="28">
        <v>48</v>
      </c>
      <c r="Z38" s="28">
        <v>0</v>
      </c>
      <c r="AA38" s="28">
        <v>30</v>
      </c>
      <c r="AB38" s="27">
        <v>0</v>
      </c>
      <c r="AC38" s="32">
        <v>9</v>
      </c>
      <c r="AD38" s="33">
        <v>0</v>
      </c>
      <c r="AE38" s="27">
        <v>0</v>
      </c>
      <c r="AF38" s="224" t="str">
        <f t="shared" si="9"/>
        <v>no data</v>
      </c>
      <c r="AG38" s="225">
        <f t="shared" si="10"/>
        <v>155</v>
      </c>
      <c r="AH38" s="224" t="str">
        <f t="shared" si="11"/>
        <v>no data</v>
      </c>
      <c r="AI38" s="226">
        <f t="shared" si="13"/>
        <v>0.6393442622950819</v>
      </c>
      <c r="AJ38" s="227" t="str">
        <f t="shared" si="12"/>
        <v>no data</v>
      </c>
      <c r="AK38" s="235">
        <v>0</v>
      </c>
      <c r="AL38" s="239">
        <v>0</v>
      </c>
      <c r="AM38" s="38">
        <f t="shared" si="6"/>
        <v>0</v>
      </c>
      <c r="AN38" s="235">
        <v>0</v>
      </c>
      <c r="AO38" s="330">
        <v>0</v>
      </c>
      <c r="AP38" s="39">
        <f t="shared" si="7"/>
        <v>0</v>
      </c>
      <c r="AQ38" s="201" t="str">
        <f t="shared" si="8"/>
        <v>no data</v>
      </c>
      <c r="AR38" s="198">
        <v>0</v>
      </c>
      <c r="AS38" s="13"/>
      <c r="AT38" s="27">
        <v>0</v>
      </c>
      <c r="AU38" s="40">
        <v>0</v>
      </c>
      <c r="AV38" s="40">
        <v>0</v>
      </c>
      <c r="AW38" s="27">
        <v>0</v>
      </c>
      <c r="AX38" s="40">
        <v>0</v>
      </c>
      <c r="AY38" s="27">
        <v>0</v>
      </c>
      <c r="AZ38" s="27">
        <v>9</v>
      </c>
      <c r="BA38" s="4"/>
      <c r="BB38" s="41">
        <v>0</v>
      </c>
      <c r="BC38" s="41">
        <v>0</v>
      </c>
      <c r="BD38" s="41">
        <v>0</v>
      </c>
      <c r="BE38" s="41">
        <v>0</v>
      </c>
      <c r="BF38" s="41" t="str">
        <f t="shared" si="1"/>
        <v>no data</v>
      </c>
      <c r="BG38" s="77">
        <f t="shared" si="2"/>
        <v>0</v>
      </c>
      <c r="BH38" s="43">
        <v>0</v>
      </c>
      <c r="BI38" s="44">
        <v>0</v>
      </c>
      <c r="BJ38" s="45">
        <v>0</v>
      </c>
      <c r="BK38" s="46">
        <v>0</v>
      </c>
      <c r="BL38" s="47">
        <v>0</v>
      </c>
      <c r="BM38" s="47">
        <v>0</v>
      </c>
      <c r="BN38" s="47">
        <v>1002.7</v>
      </c>
      <c r="BO38" s="45">
        <v>50</v>
      </c>
      <c r="BP38" s="48">
        <v>0</v>
      </c>
      <c r="BQ38" s="42">
        <v>0</v>
      </c>
      <c r="BR38" s="42">
        <v>0</v>
      </c>
      <c r="BS38" s="49">
        <f t="shared" si="3"/>
        <v>0</v>
      </c>
      <c r="BT38" s="41">
        <v>0</v>
      </c>
      <c r="BU38" s="41">
        <v>0</v>
      </c>
      <c r="BV38" s="51">
        <v>0</v>
      </c>
      <c r="BW38" s="41">
        <f t="shared" si="5"/>
        <v>0</v>
      </c>
      <c r="BX38" s="42">
        <v>0</v>
      </c>
      <c r="BY38" s="42">
        <v>0</v>
      </c>
      <c r="CA38" s="42">
        <v>0</v>
      </c>
      <c r="CB38" s="42">
        <v>0</v>
      </c>
      <c r="CD38" s="42">
        <v>0</v>
      </c>
      <c r="CE38" s="42">
        <v>0</v>
      </c>
      <c r="CF38" s="42">
        <v>0</v>
      </c>
      <c r="CG38" s="42">
        <v>0</v>
      </c>
    </row>
    <row r="39" spans="1:85">
      <c r="A39" s="452"/>
      <c r="B39" s="24">
        <v>43463</v>
      </c>
      <c r="C39" s="25">
        <v>55.08</v>
      </c>
      <c r="D39" s="26">
        <v>0.67579999999999996</v>
      </c>
      <c r="E39" s="38">
        <v>47.25</v>
      </c>
      <c r="F39" s="27">
        <v>70.400000000000006</v>
      </c>
      <c r="G39" s="27">
        <v>43.9</v>
      </c>
      <c r="H39" s="28">
        <v>0</v>
      </c>
      <c r="I39" s="28">
        <v>0</v>
      </c>
      <c r="J39" s="28">
        <v>0</v>
      </c>
      <c r="K39" s="28">
        <v>0</v>
      </c>
      <c r="L39" s="29">
        <v>0</v>
      </c>
      <c r="M39" s="29">
        <v>0</v>
      </c>
      <c r="N39" s="29">
        <v>24</v>
      </c>
      <c r="O39" s="29">
        <v>0</v>
      </c>
      <c r="P39" s="29">
        <v>0</v>
      </c>
      <c r="Q39" s="29">
        <v>0</v>
      </c>
      <c r="R39" s="29">
        <v>3719</v>
      </c>
      <c r="S39" s="30">
        <v>0</v>
      </c>
      <c r="T39" s="30">
        <v>0</v>
      </c>
      <c r="U39" s="31">
        <v>0</v>
      </c>
      <c r="V39" s="31">
        <v>0</v>
      </c>
      <c r="W39" s="28">
        <v>44</v>
      </c>
      <c r="X39" s="28">
        <v>1440</v>
      </c>
      <c r="Y39" s="28">
        <v>48</v>
      </c>
      <c r="Z39" s="28">
        <v>0</v>
      </c>
      <c r="AA39" s="28">
        <v>30</v>
      </c>
      <c r="AB39" s="27">
        <v>0</v>
      </c>
      <c r="AC39" s="32">
        <v>6</v>
      </c>
      <c r="AD39" s="33">
        <v>0</v>
      </c>
      <c r="AE39" s="27">
        <v>0</v>
      </c>
      <c r="AF39" s="224" t="str">
        <f t="shared" si="9"/>
        <v>no data</v>
      </c>
      <c r="AG39" s="225">
        <f t="shared" si="10"/>
        <v>154.95833333333334</v>
      </c>
      <c r="AH39" s="224" t="str">
        <f t="shared" si="11"/>
        <v>no data</v>
      </c>
      <c r="AI39" s="226">
        <f t="shared" si="13"/>
        <v>0.6393442622950819</v>
      </c>
      <c r="AJ39" s="227" t="str">
        <f t="shared" si="12"/>
        <v>no data</v>
      </c>
      <c r="AK39" s="235">
        <v>0</v>
      </c>
      <c r="AL39" s="239">
        <v>0</v>
      </c>
      <c r="AM39" s="38">
        <f t="shared" si="6"/>
        <v>0</v>
      </c>
      <c r="AN39" s="235">
        <v>0</v>
      </c>
      <c r="AO39" s="330">
        <v>0</v>
      </c>
      <c r="AP39" s="39">
        <f t="shared" si="7"/>
        <v>0</v>
      </c>
      <c r="AQ39" s="201" t="str">
        <f t="shared" si="8"/>
        <v>no data</v>
      </c>
      <c r="AR39" s="198">
        <v>0</v>
      </c>
      <c r="AS39" s="13"/>
      <c r="AT39" s="27">
        <v>0</v>
      </c>
      <c r="AU39" s="40">
        <v>0</v>
      </c>
      <c r="AV39" s="40">
        <v>0</v>
      </c>
      <c r="AW39" s="27">
        <v>0</v>
      </c>
      <c r="AX39" s="40">
        <v>0</v>
      </c>
      <c r="AY39" s="27">
        <v>0</v>
      </c>
      <c r="AZ39" s="27">
        <v>6</v>
      </c>
      <c r="BA39" s="4"/>
      <c r="BB39" s="41">
        <v>0</v>
      </c>
      <c r="BC39" s="41">
        <v>0</v>
      </c>
      <c r="BD39" s="41">
        <v>0</v>
      </c>
      <c r="BE39" s="41">
        <v>0</v>
      </c>
      <c r="BF39" s="41" t="str">
        <f t="shared" si="1"/>
        <v>no data</v>
      </c>
      <c r="BG39" s="77">
        <f t="shared" si="2"/>
        <v>0</v>
      </c>
      <c r="BH39" s="43">
        <v>0</v>
      </c>
      <c r="BI39" s="44">
        <v>0</v>
      </c>
      <c r="BJ39" s="45">
        <v>0</v>
      </c>
      <c r="BK39" s="46">
        <v>0</v>
      </c>
      <c r="BL39" s="47">
        <v>0</v>
      </c>
      <c r="BM39" s="47">
        <v>0</v>
      </c>
      <c r="BN39" s="47">
        <v>1002.2</v>
      </c>
      <c r="BO39" s="45">
        <v>50</v>
      </c>
      <c r="BP39" s="48">
        <v>0</v>
      </c>
      <c r="BQ39" s="42">
        <v>0</v>
      </c>
      <c r="BR39" s="42">
        <v>0</v>
      </c>
      <c r="BS39" s="49">
        <f t="shared" si="3"/>
        <v>0</v>
      </c>
      <c r="BT39" s="41">
        <v>0</v>
      </c>
      <c r="BU39" s="41">
        <v>0</v>
      </c>
      <c r="BV39" s="51">
        <f t="shared" si="4"/>
        <v>0</v>
      </c>
      <c r="BW39" s="41">
        <f t="shared" si="5"/>
        <v>0</v>
      </c>
      <c r="BX39" s="41">
        <v>0</v>
      </c>
      <c r="BY39" s="41">
        <v>0</v>
      </c>
      <c r="CA39" s="41">
        <v>0</v>
      </c>
      <c r="CB39" s="41">
        <v>0</v>
      </c>
      <c r="CD39" s="41">
        <v>0</v>
      </c>
      <c r="CE39" s="41">
        <v>0</v>
      </c>
      <c r="CF39" s="41">
        <v>0</v>
      </c>
      <c r="CG39" s="41">
        <v>0</v>
      </c>
    </row>
    <row r="40" spans="1:85">
      <c r="A40" s="452"/>
      <c r="B40" s="24">
        <v>43464</v>
      </c>
      <c r="C40" s="25">
        <v>56</v>
      </c>
      <c r="D40" s="26">
        <v>0.70699999999999996</v>
      </c>
      <c r="E40" s="38">
        <v>48.8</v>
      </c>
      <c r="F40" s="27">
        <v>70</v>
      </c>
      <c r="G40" s="27">
        <v>48</v>
      </c>
      <c r="H40" s="28">
        <v>0</v>
      </c>
      <c r="I40" s="28">
        <v>0</v>
      </c>
      <c r="J40" s="28">
        <v>0</v>
      </c>
      <c r="K40" s="28">
        <v>0</v>
      </c>
      <c r="L40" s="29">
        <v>0</v>
      </c>
      <c r="M40" s="29">
        <v>0</v>
      </c>
      <c r="N40" s="29">
        <v>24</v>
      </c>
      <c r="O40" s="29">
        <v>0</v>
      </c>
      <c r="P40" s="29">
        <v>0</v>
      </c>
      <c r="Q40" s="29">
        <v>0</v>
      </c>
      <c r="R40" s="29">
        <v>3719</v>
      </c>
      <c r="S40" s="30">
        <v>0</v>
      </c>
      <c r="T40" s="30">
        <v>0</v>
      </c>
      <c r="U40" s="31">
        <v>0</v>
      </c>
      <c r="V40" s="31">
        <v>0</v>
      </c>
      <c r="W40" s="28">
        <v>44</v>
      </c>
      <c r="X40" s="28">
        <v>1440</v>
      </c>
      <c r="Y40" s="28">
        <v>48</v>
      </c>
      <c r="Z40" s="28">
        <v>0</v>
      </c>
      <c r="AA40" s="28">
        <v>30</v>
      </c>
      <c r="AB40" s="27">
        <v>0</v>
      </c>
      <c r="AC40" s="32">
        <v>7</v>
      </c>
      <c r="AD40" s="33">
        <v>0</v>
      </c>
      <c r="AE40" s="27">
        <v>0</v>
      </c>
      <c r="AF40" s="224" t="str">
        <f t="shared" si="9"/>
        <v>no data</v>
      </c>
      <c r="AG40" s="225">
        <f t="shared" si="10"/>
        <v>154.95833333333334</v>
      </c>
      <c r="AH40" s="224" t="str">
        <f t="shared" si="11"/>
        <v>no data</v>
      </c>
      <c r="AI40" s="226">
        <f t="shared" si="13"/>
        <v>0.6393442622950819</v>
      </c>
      <c r="AJ40" s="227" t="str">
        <f t="shared" si="12"/>
        <v>no data</v>
      </c>
      <c r="AK40" s="235">
        <v>0</v>
      </c>
      <c r="AL40" s="239">
        <v>0</v>
      </c>
      <c r="AM40" s="38">
        <f t="shared" si="6"/>
        <v>0</v>
      </c>
      <c r="AN40" s="235">
        <v>0</v>
      </c>
      <c r="AO40" s="330">
        <v>0</v>
      </c>
      <c r="AP40" s="39">
        <f t="shared" si="7"/>
        <v>0</v>
      </c>
      <c r="AQ40" s="201" t="str">
        <f t="shared" si="8"/>
        <v>no data</v>
      </c>
      <c r="AR40" s="198">
        <v>0</v>
      </c>
      <c r="AS40" s="13"/>
      <c r="AT40" s="27">
        <v>0</v>
      </c>
      <c r="AU40" s="40">
        <v>0</v>
      </c>
      <c r="AV40" s="40">
        <v>0</v>
      </c>
      <c r="AW40" s="27">
        <v>0</v>
      </c>
      <c r="AX40" s="40">
        <v>0</v>
      </c>
      <c r="AY40" s="27">
        <v>0</v>
      </c>
      <c r="AZ40" s="27">
        <v>7</v>
      </c>
      <c r="BA40" s="4"/>
      <c r="BB40" s="41">
        <v>0</v>
      </c>
      <c r="BC40" s="41">
        <v>0</v>
      </c>
      <c r="BD40" s="41">
        <v>0</v>
      </c>
      <c r="BE40" s="41">
        <f>BC40-BB40</f>
        <v>0</v>
      </c>
      <c r="BF40" s="41" t="str">
        <f t="shared" si="1"/>
        <v>no data</v>
      </c>
      <c r="BG40" s="77">
        <f t="shared" si="2"/>
        <v>0</v>
      </c>
      <c r="BH40" s="43">
        <v>0</v>
      </c>
      <c r="BI40" s="44">
        <v>0</v>
      </c>
      <c r="BJ40" s="45">
        <v>0</v>
      </c>
      <c r="BK40" s="46">
        <v>0</v>
      </c>
      <c r="BL40" s="47">
        <v>0</v>
      </c>
      <c r="BM40" s="47">
        <v>0</v>
      </c>
      <c r="BN40" s="47">
        <v>1002.2</v>
      </c>
      <c r="BO40" s="45">
        <v>50</v>
      </c>
      <c r="BP40" s="48">
        <v>0</v>
      </c>
      <c r="BQ40" s="42">
        <v>0</v>
      </c>
      <c r="BR40" s="42">
        <v>0</v>
      </c>
      <c r="BS40" s="49">
        <f t="shared" si="3"/>
        <v>0</v>
      </c>
      <c r="BT40" s="41">
        <v>0</v>
      </c>
      <c r="BU40" s="41">
        <v>0</v>
      </c>
      <c r="BV40" s="51">
        <f t="shared" si="4"/>
        <v>0</v>
      </c>
      <c r="BW40" s="41">
        <f t="shared" si="5"/>
        <v>0</v>
      </c>
      <c r="BX40" s="78">
        <v>0</v>
      </c>
      <c r="BY40" s="78">
        <v>0</v>
      </c>
      <c r="CA40" s="78">
        <v>0</v>
      </c>
      <c r="CB40" s="78">
        <v>0</v>
      </c>
      <c r="CD40" s="78">
        <v>0</v>
      </c>
      <c r="CE40" s="78">
        <v>0</v>
      </c>
      <c r="CF40" s="78">
        <v>0</v>
      </c>
      <c r="CG40" s="78">
        <v>0</v>
      </c>
    </row>
    <row r="41" spans="1:85">
      <c r="A41" s="452"/>
      <c r="B41" s="24">
        <v>43465</v>
      </c>
      <c r="C41" s="410">
        <v>55.2</v>
      </c>
      <c r="D41" s="26">
        <v>0.70499999999999996</v>
      </c>
      <c r="E41" s="411">
        <v>48.3</v>
      </c>
      <c r="F41" s="58">
        <v>69.2</v>
      </c>
      <c r="G41" s="58">
        <v>46.2</v>
      </c>
      <c r="H41" s="58">
        <v>0</v>
      </c>
      <c r="I41" s="58">
        <v>0</v>
      </c>
      <c r="J41" s="58">
        <v>0</v>
      </c>
      <c r="K41" s="58">
        <v>0</v>
      </c>
      <c r="L41" s="67">
        <v>0</v>
      </c>
      <c r="M41" s="67">
        <v>0</v>
      </c>
      <c r="N41" s="67">
        <v>24</v>
      </c>
      <c r="O41" s="67">
        <v>0</v>
      </c>
      <c r="P41" s="67">
        <v>0</v>
      </c>
      <c r="Q41" s="67">
        <v>0</v>
      </c>
      <c r="R41" s="412">
        <v>3720</v>
      </c>
      <c r="S41" s="33">
        <v>0</v>
      </c>
      <c r="T41" s="33">
        <v>0</v>
      </c>
      <c r="U41" s="70">
        <v>0</v>
      </c>
      <c r="V41" s="70">
        <v>0</v>
      </c>
      <c r="W41" s="28">
        <v>44</v>
      </c>
      <c r="X41" s="28">
        <v>1440</v>
      </c>
      <c r="Y41" s="28">
        <v>48</v>
      </c>
      <c r="Z41" s="28">
        <v>0</v>
      </c>
      <c r="AA41" s="28">
        <v>30</v>
      </c>
      <c r="AB41" s="28">
        <v>0</v>
      </c>
      <c r="AC41" s="32">
        <v>8</v>
      </c>
      <c r="AD41" s="33">
        <v>0</v>
      </c>
      <c r="AE41" s="28">
        <v>0</v>
      </c>
      <c r="AF41" s="227" t="str">
        <f t="shared" si="9"/>
        <v>no data</v>
      </c>
      <c r="AG41" s="413">
        <f t="shared" si="10"/>
        <v>155</v>
      </c>
      <c r="AH41" s="227" t="str">
        <f t="shared" si="11"/>
        <v>no data</v>
      </c>
      <c r="AI41" s="414">
        <f t="shared" si="13"/>
        <v>0.6393442622950819</v>
      </c>
      <c r="AJ41" s="227" t="str">
        <f t="shared" si="12"/>
        <v>no data</v>
      </c>
      <c r="AK41" s="235">
        <v>0</v>
      </c>
      <c r="AL41" s="239">
        <v>0</v>
      </c>
      <c r="AM41" s="73">
        <f t="shared" si="6"/>
        <v>0</v>
      </c>
      <c r="AN41" s="235">
        <v>0</v>
      </c>
      <c r="AO41" s="330">
        <v>0</v>
      </c>
      <c r="AP41" s="415">
        <f t="shared" si="7"/>
        <v>0</v>
      </c>
      <c r="AQ41" s="201" t="str">
        <f t="shared" si="8"/>
        <v>no data</v>
      </c>
      <c r="AR41" s="198">
        <v>0</v>
      </c>
      <c r="AS41" s="13"/>
      <c r="AT41" s="27">
        <v>0</v>
      </c>
      <c r="AU41" s="40">
        <v>0</v>
      </c>
      <c r="AV41" s="40">
        <v>0</v>
      </c>
      <c r="AW41" s="27">
        <v>0</v>
      </c>
      <c r="AX41" s="40">
        <v>0</v>
      </c>
      <c r="AY41" s="27">
        <v>0</v>
      </c>
      <c r="AZ41" s="27">
        <v>8</v>
      </c>
      <c r="BA41" s="4"/>
      <c r="BB41" s="41">
        <v>0</v>
      </c>
      <c r="BC41" s="41">
        <v>0</v>
      </c>
      <c r="BD41" s="41">
        <v>0</v>
      </c>
      <c r="BE41" s="41">
        <f>BC41-BB41</f>
        <v>0</v>
      </c>
      <c r="BF41" s="41" t="str">
        <f t="shared" si="1"/>
        <v>no data</v>
      </c>
      <c r="BG41" s="77">
        <f t="shared" ref="BG41" si="15">BD41/24</f>
        <v>0</v>
      </c>
      <c r="BH41" s="43">
        <v>0</v>
      </c>
      <c r="BI41" s="44">
        <v>0</v>
      </c>
      <c r="BJ41" s="45">
        <v>0</v>
      </c>
      <c r="BK41" s="46">
        <v>0</v>
      </c>
      <c r="BL41" s="47">
        <v>0</v>
      </c>
      <c r="BM41" s="47">
        <v>0</v>
      </c>
      <c r="BN41" s="47">
        <v>1005.6</v>
      </c>
      <c r="BO41" s="45">
        <v>50</v>
      </c>
      <c r="BP41" s="48">
        <v>0</v>
      </c>
      <c r="BQ41" s="42">
        <v>0</v>
      </c>
      <c r="BR41" s="42">
        <v>0</v>
      </c>
      <c r="BS41" s="49"/>
      <c r="BT41" s="41"/>
      <c r="BU41" s="41"/>
      <c r="BV41" s="51"/>
      <c r="BW41" s="41">
        <f t="shared" si="5"/>
        <v>0</v>
      </c>
      <c r="BX41" s="78">
        <v>0</v>
      </c>
      <c r="BY41" s="78">
        <v>0</v>
      </c>
      <c r="CA41" s="78">
        <v>0</v>
      </c>
      <c r="CB41" s="78">
        <v>0</v>
      </c>
      <c r="CD41" s="78">
        <v>0</v>
      </c>
      <c r="CE41" s="78">
        <v>0</v>
      </c>
      <c r="CF41" s="78">
        <v>0</v>
      </c>
      <c r="CG41" s="78">
        <v>0</v>
      </c>
    </row>
    <row r="42" spans="1:85">
      <c r="A42" s="79"/>
      <c r="B42" s="80" t="s">
        <v>83</v>
      </c>
      <c r="C42" s="81">
        <f>AVERAGE(C9:C38)</f>
        <v>59.872333333333344</v>
      </c>
      <c r="D42" s="82">
        <f>AVERAGE(D9:D38)</f>
        <v>0.67349000000000026</v>
      </c>
      <c r="E42" s="398">
        <f>AVERAGE(E9:E38)</f>
        <v>51.252333333333326</v>
      </c>
      <c r="F42" s="398">
        <f>AVERAGE(F9:F38)</f>
        <v>75.996000000000009</v>
      </c>
      <c r="G42" s="398">
        <f>AVERAGE(G9:G38)</f>
        <v>49.675333333333334</v>
      </c>
      <c r="H42" s="81">
        <f>SUM(H9:H38)+(INT(SUM(I9:I38)/60))</f>
        <v>0</v>
      </c>
      <c r="I42" s="81">
        <f>SUM(I9:I38)-(INT(SUM(I9:I38)/60)*60)</f>
        <v>0</v>
      </c>
      <c r="J42" s="81">
        <f>SUM(J9:J38)+(INT(SUM(K9:K38)/60))</f>
        <v>7</v>
      </c>
      <c r="K42" s="81">
        <f t="shared" ref="K42:Q42" si="16">SUM(K9:K38)-(INT(SUM(K9:K38)/60)*60)</f>
        <v>25</v>
      </c>
      <c r="L42" s="81">
        <f t="shared" si="16"/>
        <v>0</v>
      </c>
      <c r="M42" s="81">
        <f t="shared" si="16"/>
        <v>0</v>
      </c>
      <c r="N42" s="81">
        <f t="shared" si="16"/>
        <v>6</v>
      </c>
      <c r="O42" s="81">
        <f t="shared" si="16"/>
        <v>31</v>
      </c>
      <c r="P42" s="81">
        <f t="shared" si="16"/>
        <v>0</v>
      </c>
      <c r="Q42" s="81">
        <f t="shared" si="16"/>
        <v>0</v>
      </c>
      <c r="R42" s="83">
        <f>SUM(R9:R38)</f>
        <v>111312</v>
      </c>
      <c r="S42" s="83">
        <f>SUM(S9:S38)</f>
        <v>2488</v>
      </c>
      <c r="T42" s="83">
        <f>SUM(T9:T38)</f>
        <v>2393</v>
      </c>
      <c r="U42" s="83">
        <v>872.53</v>
      </c>
      <c r="V42" s="83">
        <f>SUM(V9:V38)</f>
        <v>919</v>
      </c>
      <c r="W42" s="85">
        <f>AVERAGE(W9:W38)</f>
        <v>43.366666666666667</v>
      </c>
      <c r="X42" s="85">
        <f>SUM(X9:X38)</f>
        <v>43200</v>
      </c>
      <c r="Y42" s="85">
        <f>AVERAGE(Y9:Y38)</f>
        <v>46.8</v>
      </c>
      <c r="Z42" s="85">
        <f>SUM(Z9:Z38)</f>
        <v>26790</v>
      </c>
      <c r="AA42" s="85">
        <f>AVERAGE(AA9:AA38)</f>
        <v>49</v>
      </c>
      <c r="AB42" s="85">
        <f>SUM(AB9:AB38)</f>
        <v>26925</v>
      </c>
      <c r="AC42" s="86">
        <f>V42-U42+AZ42</f>
        <v>304.47000000000003</v>
      </c>
      <c r="AD42" s="87">
        <f>(SUM($AD$9:$AD$38))</f>
        <v>-1822</v>
      </c>
      <c r="AE42" s="87">
        <f t="shared" ref="AE42:AJ42" si="17">AVERAGE(AE9:AE38)</f>
        <v>5.0333333333333332</v>
      </c>
      <c r="AF42" s="87">
        <f t="shared" si="17"/>
        <v>0.25060800515705578</v>
      </c>
      <c r="AG42" s="90">
        <f t="shared" si="17"/>
        <v>154.6</v>
      </c>
      <c r="AH42" s="88">
        <f>AVERAGE(AH11:AH41)</f>
        <v>0.11712343272422818</v>
      </c>
      <c r="AI42" s="88">
        <f>AVERAGE(AI11:AI41)</f>
        <v>0.29666711610591823</v>
      </c>
      <c r="AJ42" s="88">
        <f t="shared" si="17"/>
        <v>8.3540286975717415E-2</v>
      </c>
      <c r="AK42" s="89">
        <f>SUM(AK9:AK38)</f>
        <v>4.5529999999999999</v>
      </c>
      <c r="AL42" s="89">
        <f>AVERAGE(AL9:AL38)</f>
        <v>10.989373333333333</v>
      </c>
      <c r="AM42" s="89">
        <f>SUM(AM9:AM38)</f>
        <v>750.51976000000002</v>
      </c>
      <c r="AN42" s="89">
        <f>SUM(AN9:AN38)</f>
        <v>8.2282900000000012</v>
      </c>
      <c r="AO42" s="87">
        <f>AVERAGE(AO11:AO41)</f>
        <v>257.26917741935483</v>
      </c>
      <c r="AP42" s="90">
        <f>SUM(AP9:AP38)</f>
        <v>8261.1295135</v>
      </c>
      <c r="AQ42" s="91">
        <f>((AM42+AP42))/(U42*1000)*1000000</f>
        <v>10328.182725522331</v>
      </c>
      <c r="AR42" s="91">
        <f>AVERAGE(AR9:AR38)</f>
        <v>4.8631578947368421</v>
      </c>
      <c r="AS42" s="13"/>
      <c r="AT42" s="93">
        <f>SUM(AT9:AT38)</f>
        <v>0</v>
      </c>
      <c r="AU42" s="93">
        <f t="shared" ref="AU42:BD42" si="18">SUM(AU9:AU38)</f>
        <v>0</v>
      </c>
      <c r="AV42" s="93">
        <f t="shared" si="18"/>
        <v>15</v>
      </c>
      <c r="AW42" s="93">
        <f t="shared" si="18"/>
        <v>156</v>
      </c>
      <c r="AX42" s="93">
        <f t="shared" si="18"/>
        <v>34</v>
      </c>
      <c r="AY42" s="93">
        <f t="shared" si="18"/>
        <v>435</v>
      </c>
      <c r="AZ42" s="93">
        <f t="shared" si="18"/>
        <v>258</v>
      </c>
      <c r="BA42" s="4"/>
      <c r="BB42" s="93">
        <f t="shared" si="18"/>
        <v>0</v>
      </c>
      <c r="BC42" s="93">
        <f t="shared" si="18"/>
        <v>679</v>
      </c>
      <c r="BD42" s="93">
        <f t="shared" si="18"/>
        <v>240</v>
      </c>
      <c r="BE42" s="6">
        <f>(BC42-BB42)</f>
        <v>679</v>
      </c>
      <c r="BF42" s="95">
        <f>AQ42</f>
        <v>10328.182725522331</v>
      </c>
      <c r="BG42" s="95">
        <f t="shared" ref="BG42:BM42" si="19">SUM(BG9:BG38)</f>
        <v>10</v>
      </c>
      <c r="BH42" s="95">
        <f t="shared" si="19"/>
        <v>0</v>
      </c>
      <c r="BI42" s="95">
        <f t="shared" si="19"/>
        <v>0.4</v>
      </c>
      <c r="BJ42" s="95">
        <f t="shared" si="19"/>
        <v>0</v>
      </c>
      <c r="BK42" s="95">
        <f t="shared" si="19"/>
        <v>0</v>
      </c>
      <c r="BL42" s="95">
        <f t="shared" si="19"/>
        <v>24.89</v>
      </c>
      <c r="BM42" s="95">
        <f t="shared" si="19"/>
        <v>23.08</v>
      </c>
      <c r="BN42" s="96">
        <f>AVERAGE(BN9:BN38)</f>
        <v>1004.7166666666666</v>
      </c>
      <c r="BO42" s="96">
        <f t="shared" ref="BO42:BV42" si="20">AVERAGE(BO9:BO38)</f>
        <v>29.322758620689655</v>
      </c>
      <c r="BP42" s="96">
        <f t="shared" si="20"/>
        <v>0</v>
      </c>
      <c r="BQ42" s="96">
        <f t="shared" si="20"/>
        <v>0</v>
      </c>
      <c r="BR42" s="96">
        <f t="shared" si="20"/>
        <v>5.7770000000000001</v>
      </c>
      <c r="BS42" s="96">
        <f t="shared" si="20"/>
        <v>5.7770000000000001</v>
      </c>
      <c r="BT42" s="96">
        <f t="shared" si="20"/>
        <v>0</v>
      </c>
      <c r="BU42" s="96">
        <f t="shared" si="20"/>
        <v>804.4</v>
      </c>
      <c r="BV42" s="96">
        <f t="shared" si="20"/>
        <v>804.4</v>
      </c>
      <c r="BW42" s="97">
        <f>(SUM(BW9:BW38))</f>
        <v>0.4</v>
      </c>
      <c r="BX42" s="97">
        <f>(SUM(BX9:BX38))</f>
        <v>0</v>
      </c>
      <c r="BY42" s="97">
        <f>(SUM(BY9:BY38))</f>
        <v>5</v>
      </c>
      <c r="CA42" s="97">
        <f>(SUM(CA9:CA38))</f>
        <v>0</v>
      </c>
      <c r="CB42" s="97">
        <f>(SUM(CB9:CB38))</f>
        <v>8</v>
      </c>
      <c r="CD42" s="97">
        <f>AVERAGE(CD9:CD38)</f>
        <v>0</v>
      </c>
      <c r="CE42" s="97">
        <f>AVERAGE(CE9:CE38)</f>
        <v>0</v>
      </c>
      <c r="CF42" s="97">
        <f>AVERAGE(CF9:CF38)</f>
        <v>0</v>
      </c>
      <c r="CG42" s="97">
        <f>AVERAGE(CG9:CG38)</f>
        <v>0</v>
      </c>
    </row>
    <row r="43" spans="1:85" ht="15.75" thickBot="1">
      <c r="A43" s="98"/>
      <c r="B43" s="99" t="s">
        <v>84</v>
      </c>
      <c r="C43" s="100" t="s">
        <v>85</v>
      </c>
      <c r="D43" s="101" t="s">
        <v>86</v>
      </c>
      <c r="E43" s="101"/>
      <c r="F43" s="102" t="s">
        <v>87</v>
      </c>
      <c r="G43" s="102" t="s">
        <v>88</v>
      </c>
      <c r="H43" s="102" t="s">
        <v>75</v>
      </c>
      <c r="I43" s="102" t="s">
        <v>76</v>
      </c>
      <c r="J43" s="102" t="s">
        <v>75</v>
      </c>
      <c r="K43" s="102" t="s">
        <v>76</v>
      </c>
      <c r="L43" s="102" t="s">
        <v>75</v>
      </c>
      <c r="M43" s="102" t="s">
        <v>76</v>
      </c>
      <c r="N43" s="102" t="s">
        <v>75</v>
      </c>
      <c r="O43" s="102" t="s">
        <v>76</v>
      </c>
      <c r="P43" s="103" t="s">
        <v>89</v>
      </c>
      <c r="Q43" s="103" t="s">
        <v>90</v>
      </c>
      <c r="R43" s="103" t="s">
        <v>91</v>
      </c>
      <c r="S43" s="103" t="s">
        <v>91</v>
      </c>
      <c r="T43" s="103" t="s">
        <v>91</v>
      </c>
      <c r="U43" s="103" t="s">
        <v>91</v>
      </c>
      <c r="V43" s="103" t="s">
        <v>91</v>
      </c>
      <c r="W43" s="103" t="s">
        <v>92</v>
      </c>
      <c r="X43" s="103" t="s">
        <v>93</v>
      </c>
      <c r="Y43" s="103" t="s">
        <v>94</v>
      </c>
      <c r="Z43" s="103" t="s">
        <v>93</v>
      </c>
      <c r="AA43" s="103" t="s">
        <v>94</v>
      </c>
      <c r="AB43" s="103" t="s">
        <v>93</v>
      </c>
      <c r="AC43" s="103" t="s">
        <v>95</v>
      </c>
      <c r="AD43" s="103" t="s">
        <v>96</v>
      </c>
      <c r="AE43" s="103" t="s">
        <v>97</v>
      </c>
      <c r="AF43" s="103" t="s">
        <v>98</v>
      </c>
      <c r="AG43" s="103" t="s">
        <v>99</v>
      </c>
      <c r="AH43" s="103" t="s">
        <v>99</v>
      </c>
      <c r="AI43" s="103"/>
      <c r="AJ43" s="103" t="s">
        <v>99</v>
      </c>
      <c r="AK43" s="103" t="s">
        <v>100</v>
      </c>
      <c r="AL43" s="103" t="s">
        <v>99</v>
      </c>
      <c r="AM43" s="103"/>
      <c r="AN43" s="103" t="s">
        <v>100</v>
      </c>
      <c r="AO43" s="103" t="s">
        <v>99</v>
      </c>
      <c r="AP43" s="104"/>
      <c r="AQ43" s="105" t="s">
        <v>99</v>
      </c>
      <c r="AR43" s="106"/>
      <c r="AS43" s="107"/>
      <c r="AZ43" s="108" t="s">
        <v>100</v>
      </c>
      <c r="BA43" s="4"/>
      <c r="BF43" s="109" t="str">
        <f t="shared" si="1"/>
        <v>Avg.</v>
      </c>
      <c r="BS43" s="4"/>
      <c r="BT43" s="5"/>
      <c r="BU43" s="5"/>
      <c r="BV43" s="6"/>
    </row>
    <row r="44" spans="1:85" ht="15.75" thickBot="1">
      <c r="B44" s="110"/>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c r="AA44" s="110"/>
      <c r="AB44" s="110"/>
      <c r="AC44" s="110"/>
      <c r="AD44" s="110"/>
      <c r="AE44" s="110"/>
      <c r="AF44" s="110"/>
      <c r="AG44" s="110"/>
      <c r="AH44" s="110"/>
      <c r="AI44" s="110"/>
      <c r="AJ44" s="110"/>
      <c r="AK44" s="110"/>
      <c r="AL44" s="110"/>
      <c r="AM44" s="111"/>
      <c r="AQ44" s="112"/>
      <c r="AR44" s="112"/>
      <c r="AS44" s="4"/>
      <c r="BA44" s="113"/>
      <c r="BB44" s="114"/>
      <c r="BC44" s="114"/>
      <c r="BD44" s="114"/>
      <c r="BE44" s="6"/>
      <c r="BS44" s="4"/>
      <c r="BT44" s="5"/>
      <c r="BU44" s="5"/>
      <c r="BV44" s="6"/>
    </row>
    <row r="45" spans="1:85" ht="59.25" customHeight="1" thickBot="1">
      <c r="B45" s="115" t="s">
        <v>101</v>
      </c>
      <c r="C45" s="116" t="s">
        <v>102</v>
      </c>
      <c r="D45" s="116" t="s">
        <v>103</v>
      </c>
      <c r="E45" s="401" t="s">
        <v>130</v>
      </c>
      <c r="F45" s="532" t="s">
        <v>104</v>
      </c>
      <c r="G45" s="533"/>
      <c r="H45" s="532" t="s">
        <v>105</v>
      </c>
      <c r="I45" s="533"/>
      <c r="J45" s="532" t="s">
        <v>106</v>
      </c>
      <c r="K45" s="533"/>
      <c r="L45" s="532" t="s">
        <v>107</v>
      </c>
      <c r="M45" s="533"/>
      <c r="N45" s="532" t="s">
        <v>108</v>
      </c>
      <c r="O45" s="533"/>
      <c r="P45" s="532" t="s">
        <v>109</v>
      </c>
      <c r="Q45" s="533"/>
      <c r="R45" s="118" t="s">
        <v>110</v>
      </c>
      <c r="S45" s="118" t="s">
        <v>111</v>
      </c>
      <c r="T45" s="393" t="s">
        <v>112</v>
      </c>
      <c r="U45" s="394" t="s">
        <v>11</v>
      </c>
      <c r="V45" s="393" t="s">
        <v>12</v>
      </c>
      <c r="W45" s="394" t="s">
        <v>113</v>
      </c>
      <c r="X45" s="394" t="s">
        <v>14</v>
      </c>
      <c r="Y45" s="394" t="s">
        <v>114</v>
      </c>
      <c r="Z45" s="394" t="s">
        <v>16</v>
      </c>
      <c r="AA45" s="394" t="s">
        <v>18</v>
      </c>
      <c r="AB45" s="394" t="s">
        <v>17</v>
      </c>
      <c r="AC45" s="118" t="s">
        <v>19</v>
      </c>
      <c r="AD45" s="120" t="s">
        <v>20</v>
      </c>
      <c r="AE45" s="121" t="s">
        <v>21</v>
      </c>
      <c r="AF45" s="121" t="s">
        <v>22</v>
      </c>
      <c r="AG45" s="121" t="s">
        <v>115</v>
      </c>
      <c r="AH45" s="395" t="s">
        <v>116</v>
      </c>
      <c r="AI45" s="395" t="s">
        <v>25</v>
      </c>
      <c r="AJ45" s="396" t="s">
        <v>26</v>
      </c>
      <c r="AK45" s="393" t="s">
        <v>117</v>
      </c>
      <c r="AL45" s="397" t="s">
        <v>28</v>
      </c>
      <c r="AM45" s="397" t="s">
        <v>29</v>
      </c>
      <c r="AN45" s="393" t="s">
        <v>118</v>
      </c>
      <c r="AO45" s="397" t="s">
        <v>119</v>
      </c>
      <c r="AP45" s="397" t="s">
        <v>32</v>
      </c>
      <c r="AQ45" s="396" t="s">
        <v>120</v>
      </c>
      <c r="AR45" s="125"/>
      <c r="AS45" s="125"/>
      <c r="BA45" s="113"/>
      <c r="BB45" s="114"/>
      <c r="BC45" s="114"/>
      <c r="BD45" s="114"/>
      <c r="BE45" s="126">
        <f>AVERAGE(BE28:BE31)</f>
        <v>0</v>
      </c>
      <c r="BS45" s="4"/>
      <c r="BT45" s="5"/>
      <c r="BU45" s="5"/>
      <c r="BV45" s="6"/>
    </row>
    <row r="46" spans="1:85">
      <c r="B46" s="127" t="s">
        <v>320</v>
      </c>
      <c r="C46" s="128">
        <f>IF(C6=0,"no data",AVERAGE(C6:C12))</f>
        <v>66.971428571428561</v>
      </c>
      <c r="D46" s="129">
        <f>IF(D6=0,"no data",AVERAGE(D6:D12))</f>
        <v>0.65428571428571425</v>
      </c>
      <c r="E46" s="132">
        <f>IF(E6=0,"no data",AVERAGE(E6:E12))</f>
        <v>56.442857142857136</v>
      </c>
      <c r="F46" s="128">
        <f>IF(F6=0,"no data",AVERAGE(F6:F12))</f>
        <v>84.142857142857139</v>
      </c>
      <c r="G46" s="128">
        <f>IF(G6=0,"no data",AVERAGE(G6:G12))</f>
        <v>54.142857142857146</v>
      </c>
      <c r="H46" s="128">
        <f>SUM(H6:H12)+INT(SUM(I6:I12)/60)</f>
        <v>0</v>
      </c>
      <c r="I46" s="128">
        <f>SUM(I6:I12)-INT(SUM(I6:I12)/60)*60</f>
        <v>0</v>
      </c>
      <c r="J46" s="128">
        <f>SUM(J6:J12)+INT(SUM(K6:K12)/60)</f>
        <v>0</v>
      </c>
      <c r="K46" s="128">
        <f>SUM(K6:K12)-INT(SUM(K6:K12)/60)*60</f>
        <v>0</v>
      </c>
      <c r="L46" s="128">
        <f>SUM(L6:L12)+INT(SUM(M6:M12)/60)</f>
        <v>0</v>
      </c>
      <c r="M46" s="128">
        <f>SUM(M6:M12)-INT(SUM(M6:M12)/60)*60</f>
        <v>0</v>
      </c>
      <c r="N46" s="128">
        <f>SUM(N6:N12)+INT(SUM(O6:O12)/60)</f>
        <v>0</v>
      </c>
      <c r="O46" s="128">
        <f>SUM(O6:O12)-INT(SUM(O6:O12)/60)*60</f>
        <v>0</v>
      </c>
      <c r="P46" s="128">
        <f>SUM(P6:P12)+INT(SUM(Q6:Q12)/60)</f>
        <v>0</v>
      </c>
      <c r="Q46" s="128">
        <f>SUM(Q6:Q12)-INT(SUM(Q6:Q12)/60)*60</f>
        <v>0</v>
      </c>
      <c r="R46" s="130">
        <f t="shared" ref="R46:W46" si="21">IF(R6=0,"no data", AVERAGE(R6:R12))</f>
        <v>3688</v>
      </c>
      <c r="S46" s="130" t="str">
        <f t="shared" si="21"/>
        <v>no data</v>
      </c>
      <c r="T46" s="130" t="str">
        <f t="shared" si="21"/>
        <v>no data</v>
      </c>
      <c r="U46" s="130" t="str">
        <f t="shared" si="21"/>
        <v>no data</v>
      </c>
      <c r="V46" s="130" t="str">
        <f t="shared" si="21"/>
        <v>no data</v>
      </c>
      <c r="W46" s="131">
        <f t="shared" si="21"/>
        <v>43</v>
      </c>
      <c r="X46" s="132">
        <f>IF(AND(X6=0,X7=0,X8=0,X9=0,X10=0,X11= 0,X12=0),"No outage",SUM(X6:X12))</f>
        <v>10080</v>
      </c>
      <c r="Y46" s="132">
        <f>IF(Y6=0,"no data", AVERAGE(Y6:Y12))</f>
        <v>46</v>
      </c>
      <c r="Z46" s="132">
        <f>IF(AND(Z6=0,Z7=0,Z8=0,Z9=0,Z10=0,Z11= 0,Z12=0),"No outage",SUM(Z6:Z12))</f>
        <v>10080</v>
      </c>
      <c r="AA46" s="132">
        <f>IF(AND(AA6=0,AA7=0,AA8=0,AA9=0,AA10=0, AA11=0,AA12=0),"No outage",SUM(AA6:AA12))</f>
        <v>420</v>
      </c>
      <c r="AB46" s="132">
        <f>IF(Z6=0,"no data", AVERAGE(AB6:AB12))</f>
        <v>1440</v>
      </c>
      <c r="AC46" s="128">
        <f>IF(Z6=0,"no data", SUM(AC6:AC12))</f>
        <v>37</v>
      </c>
      <c r="AD46" s="128" t="str">
        <f>IF(AD6=0,"no data", SUM(AD6:AD12))</f>
        <v>no data</v>
      </c>
      <c r="AE46" s="131" t="str">
        <f t="shared" ref="AE46:AJ46" si="22">IF(AE6=0,"no data", AVERAGE(AE6:AE12))</f>
        <v>no data</v>
      </c>
      <c r="AF46" s="133" t="e">
        <f t="shared" si="22"/>
        <v>#DIV/0!</v>
      </c>
      <c r="AG46" s="132">
        <f t="shared" si="22"/>
        <v>153.66666666666669</v>
      </c>
      <c r="AH46" s="133" t="e">
        <f t="shared" si="22"/>
        <v>#DIV/0!</v>
      </c>
      <c r="AI46" s="133" t="str">
        <f t="shared" si="22"/>
        <v>no data</v>
      </c>
      <c r="AJ46" s="133" t="e">
        <f t="shared" si="22"/>
        <v>#DIV/0!</v>
      </c>
      <c r="AK46" s="132" t="str">
        <f>IF(AK6=0,"no data", SUM(AK6:AK12))</f>
        <v>no data</v>
      </c>
      <c r="AL46" s="132" t="str">
        <f>IF(AL6=0,"no data", AVERAGE(AL6:AL12))</f>
        <v>no data</v>
      </c>
      <c r="AM46" s="132" t="e">
        <f>AK46*AL46</f>
        <v>#VALUE!</v>
      </c>
      <c r="AN46" s="132" t="str">
        <f>IF(AN6=0,"no data", SUM(AN6:AN12))</f>
        <v>no data</v>
      </c>
      <c r="AO46" s="132" t="str">
        <f>IF(AO6=0,"no data", AVERAGE(AO6:AO12))</f>
        <v>no data</v>
      </c>
      <c r="AP46" s="132" t="e">
        <f>AN46*AO46</f>
        <v>#VALUE!</v>
      </c>
      <c r="AQ46" s="134" t="e">
        <f>IF(AQ6=0,"no data", AVERAGE(AQ6:AQ12))</f>
        <v>#DIV/0!</v>
      </c>
      <c r="AR46" s="135"/>
      <c r="AS46" s="136"/>
      <c r="BA46" s="113"/>
      <c r="BB46" s="114"/>
      <c r="BC46" s="114"/>
      <c r="BD46" s="114"/>
      <c r="BS46" s="4"/>
      <c r="BT46" s="5"/>
      <c r="BU46" s="5"/>
      <c r="BV46" s="6"/>
    </row>
    <row r="47" spans="1:85">
      <c r="B47" s="127" t="s">
        <v>324</v>
      </c>
      <c r="C47" s="137">
        <f>IF(C13=0,"no data", AVERAGE(C13:C19))</f>
        <v>63.967142857142846</v>
      </c>
      <c r="D47" s="138">
        <f>IF(D13=0,"no data", AVERAGE(D13:D19))</f>
        <v>0.65638571428571424</v>
      </c>
      <c r="E47" s="140">
        <f>IF(E13=0,"no data", AVERAGE(E13:E19))</f>
        <v>54.31</v>
      </c>
      <c r="F47" s="137">
        <f>IF(F13=0,"no data", AVERAGE(F13:F19))</f>
        <v>79.454285714285717</v>
      </c>
      <c r="G47" s="137">
        <f>IF(G13=0,"no data", AVERAGE(G13:G19))</f>
        <v>54.794285714285714</v>
      </c>
      <c r="H47" s="137">
        <f>SUM(H13:H19)+INT(SUM(I13:I19)/60)</f>
        <v>0</v>
      </c>
      <c r="I47" s="137">
        <f>SUM(I13:I19)-INT(SUM(J13:J19)/60)</f>
        <v>0</v>
      </c>
      <c r="J47" s="137">
        <f>SUM(J13:J19)+INT(SUM(K13:K19)/60)</f>
        <v>0</v>
      </c>
      <c r="K47" s="137">
        <f>SUM(K13:K19)-INT(SUM(L13:L19)/60)*60</f>
        <v>0</v>
      </c>
      <c r="L47" s="137">
        <f>SUM(L13:L19)+INT(SUM(M13:M19)/60)</f>
        <v>0</v>
      </c>
      <c r="M47" s="137">
        <f>SUM(M13:M19)-INT(SUM(N13:N19)/60)*60</f>
        <v>0</v>
      </c>
      <c r="N47" s="137">
        <f>SUM(N13:N19)+INT(SUM(O13:O19)/60)</f>
        <v>0</v>
      </c>
      <c r="O47" s="137">
        <f>SUM(O13:O19)-INT(SUM(P13:P19)/60)*60</f>
        <v>0</v>
      </c>
      <c r="P47" s="137">
        <f>SUM(P13:P19)+INT(SUM(Q13:Q19)/60)</f>
        <v>0</v>
      </c>
      <c r="Q47" s="137">
        <f>SUM(Q7:Q13)-INT(SUM(Q13:Q19)/60)*60</f>
        <v>0</v>
      </c>
      <c r="R47" s="139">
        <f>IF(R13=0,"no data", AVERAGE(R13:R19))</f>
        <v>3701.1428571428573</v>
      </c>
      <c r="S47" s="139" t="str">
        <f>IF(S13=0,"no data", AVERAGE(S13:S19))</f>
        <v>no data</v>
      </c>
      <c r="T47" s="139" t="str">
        <f>IF(T13=0,"no data", AVERAGE(T13:T19))</f>
        <v>no data</v>
      </c>
      <c r="U47" s="139" t="str">
        <f>IF(U13=0,"no data", SUM(U13:U19))</f>
        <v>no data</v>
      </c>
      <c r="V47" s="139" t="str">
        <f>IF(V13=0,"no data", SUM(V13:V19))</f>
        <v>no data</v>
      </c>
      <c r="W47" s="139">
        <f>IF(W13=0,"no data", AVERAGE(W13:W19))</f>
        <v>43</v>
      </c>
      <c r="X47" s="140">
        <f>IF(AND(X13=0,X14=0,X15=0,X16=0,X17=0,X18=0,X19=0),"No outage",SUM(X13:X19))</f>
        <v>10080</v>
      </c>
      <c r="Y47" s="140">
        <f>IF(AND(Y13=0,Y14=0,Y15=0,Y16=0,Y17=0,Y18=0,Y19=0),"No outage",SUM(Y13:Y19))</f>
        <v>322</v>
      </c>
      <c r="Z47" s="139">
        <f>IF(Z13=0,"no data", AVERAGE(Z13:Z19))</f>
        <v>1440</v>
      </c>
      <c r="AA47" s="140">
        <f>IF(AND(AA13=0,AA14=0,AA15=0,AA16=0,AA17=0,AA18=0,AA19=0),"No outage",SUM(AA13:AA19))</f>
        <v>420</v>
      </c>
      <c r="AB47" s="139">
        <f>IF(AB13=0,"no data", AVERAGE(AB13:AB19))</f>
        <v>1440</v>
      </c>
      <c r="AC47" s="139">
        <f>IF(AC13=0,"no data", SUM(AC13:AC19))</f>
        <v>48</v>
      </c>
      <c r="AD47" s="139" t="str">
        <f>IF(AD13=0,"no data", SUM(AD13:AD19))</f>
        <v>no data</v>
      </c>
      <c r="AE47" s="139" t="str">
        <f t="shared" ref="AE47:AJ47" si="23">IF(AE13=0,"no data", AVERAGE(AE13:AE19))</f>
        <v>no data</v>
      </c>
      <c r="AF47" s="141" t="e">
        <f t="shared" si="23"/>
        <v>#DIV/0!</v>
      </c>
      <c r="AG47" s="139">
        <f t="shared" si="23"/>
        <v>154.21428571428572</v>
      </c>
      <c r="AH47" s="141" t="e">
        <f t="shared" si="23"/>
        <v>#DIV/0!</v>
      </c>
      <c r="AI47" s="141" t="str">
        <f t="shared" si="23"/>
        <v>no data</v>
      </c>
      <c r="AJ47" s="141" t="e">
        <f t="shared" si="23"/>
        <v>#DIV/0!</v>
      </c>
      <c r="AK47" s="142" t="str">
        <f>IF(AK13=0,"no data",SUM(AK13:AK19))</f>
        <v>no data</v>
      </c>
      <c r="AL47" s="143" t="str">
        <f>IF(AL13=0,"no data", AVERAGE(AL13:AL19))</f>
        <v>no data</v>
      </c>
      <c r="AM47" s="140" t="e">
        <f>AK47*AL47</f>
        <v>#VALUE!</v>
      </c>
      <c r="AN47" s="140" t="str">
        <f>IF(AN13=0,"no data", SUM(AN13:AN19))</f>
        <v>no data</v>
      </c>
      <c r="AO47" s="142">
        <f>IF(AO13=0,"no data",AVERAGE(AO13:AO19))</f>
        <v>141.42857142857142</v>
      </c>
      <c r="AP47" s="140" t="e">
        <f>AN47*AO47</f>
        <v>#VALUE!</v>
      </c>
      <c r="AQ47" s="144" t="e">
        <f>IF(AQ13=0,"no data", AVERAGE(AQ13:AQ19))</f>
        <v>#DIV/0!</v>
      </c>
      <c r="AR47" s="135"/>
      <c r="AS47" s="136"/>
      <c r="AX47">
        <f>3413/12465</f>
        <v>0.27380665864420378</v>
      </c>
      <c r="BA47" s="113"/>
      <c r="BC47" s="114"/>
      <c r="BS47" s="4"/>
      <c r="BT47" s="5"/>
      <c r="BU47" s="5"/>
      <c r="BV47" s="6"/>
    </row>
    <row r="48" spans="1:85">
      <c r="A48" s="145"/>
      <c r="B48" s="127" t="s">
        <v>325</v>
      </c>
      <c r="C48" s="140">
        <f>IF(C20=0,"no data", AVERAGE(C20:C26))</f>
        <v>58.642857142857146</v>
      </c>
      <c r="D48" s="138">
        <f>IF(D20=0,"no data", AVERAGE(D20:D26))</f>
        <v>0.70814285714285707</v>
      </c>
      <c r="E48" s="140">
        <f>IF(E20=0,"no data", AVERAGE(E20:E26))</f>
        <v>51.542857142857144</v>
      </c>
      <c r="F48" s="140">
        <f>IF(F20=0,"no data", AVERAGE(F20:F26))</f>
        <v>73.285714285714292</v>
      </c>
      <c r="G48" s="140">
        <f>IF(G20=0,"no data", AVERAGE(G20:G26))</f>
        <v>50.142857142857146</v>
      </c>
      <c r="H48" s="137">
        <f>SUM(H20:H26)+INT(SUM(I20:I26)/60)</f>
        <v>0</v>
      </c>
      <c r="I48" s="137">
        <f>SUM(I20:I26)-INT(SUM(I26:I26)/60)*60</f>
        <v>0</v>
      </c>
      <c r="J48" s="137">
        <f>SUM(J20:J26)+INT(SUM(K20:K26)/60)</f>
        <v>0</v>
      </c>
      <c r="K48" s="137">
        <f>SUM(K20:K26)-INT(SUM(K20:K26)/60)*60</f>
        <v>0</v>
      </c>
      <c r="L48" s="137">
        <f>SUM(L20:L26)+INT(SUM(M20:M26)/60)</f>
        <v>0</v>
      </c>
      <c r="M48" s="137">
        <f>SUM(M20:M26)-INT(SUM(M20:M26)/60)*60</f>
        <v>0</v>
      </c>
      <c r="N48" s="137">
        <f>SUM(N20:N26)+INT(SUM(O20:O26)/60)</f>
        <v>0</v>
      </c>
      <c r="O48" s="137">
        <f>SUM(O20:O26)-INT(SUM(O20:O26)/60)*60</f>
        <v>0</v>
      </c>
      <c r="P48" s="137">
        <f>SUM(P20:P26)+INT(SUM(Q20:Q26)/60)</f>
        <v>0</v>
      </c>
      <c r="Q48" s="137">
        <f>SUM(Q20:Q26)-INT(SUM(Q20:Q26)/60)*60</f>
        <v>0</v>
      </c>
      <c r="R48" s="139">
        <f>IF(R20=0,"no data", AVERAGE(R20:R26))</f>
        <v>3716.2857142857142</v>
      </c>
      <c r="S48" s="139" t="str">
        <f>IF(S20=0,"no data", AVERAGE(S20:S26))</f>
        <v>no data</v>
      </c>
      <c r="T48" s="139" t="str">
        <f>IF(T20=0,"no data", AVERAGE(T20:T26))</f>
        <v>no data</v>
      </c>
      <c r="U48" s="146" t="str">
        <f>IF(U20=0,"no data", SUM(U20:U26))</f>
        <v>no data</v>
      </c>
      <c r="V48" s="146" t="str">
        <f>IF(V20=0,"no data", SUM(V20:V26))</f>
        <v>no data</v>
      </c>
      <c r="W48" s="146">
        <f>IF(W20=0,"no data", AVERAGE(W20:W26))</f>
        <v>43</v>
      </c>
      <c r="X48" s="140">
        <f>IF(AND(X20=0,X21=0,X22=0,X23=0,X24=0,X25=0,X26=0),"No outage",SUM(X20:X26))</f>
        <v>10080</v>
      </c>
      <c r="Y48" s="140">
        <f>IF(AND(Y20=0,Y21=0,Y22=0,Y23=0,Y24=0,Y25=0,Y26=0),"No outage",SUM(Y20:Y26))</f>
        <v>322</v>
      </c>
      <c r="Z48" s="146">
        <f>IF(Z20=0,"no data", AVERAGE(Z20:Z26))</f>
        <v>1440</v>
      </c>
      <c r="AA48" s="140">
        <f>IF(AND(AA20=0,AA21=0,AA22=0,AA23=0,AA24=0,AA25=0,AA26=0),"No outage",SUM(AA20:AA26))</f>
        <v>420</v>
      </c>
      <c r="AB48" s="140">
        <f>IF(AB20=0,"no data", AVERAGE(AB20:AB26))</f>
        <v>1440</v>
      </c>
      <c r="AC48" s="140">
        <f>IF(AC20=0,"no data", SUM(AC20:AC26))</f>
        <v>75</v>
      </c>
      <c r="AD48" s="146" t="str">
        <f>IF(AD20=0,"no data", SUM(AD20:AD26))</f>
        <v>no data</v>
      </c>
      <c r="AE48" s="140" t="str">
        <f t="shared" ref="AE48:AJ48" si="24">IF(AE20=0,"no data", AVERAGE(AE20:AE26))</f>
        <v>no data</v>
      </c>
      <c r="AF48" s="141">
        <f t="shared" si="24"/>
        <v>0.18634259259259259</v>
      </c>
      <c r="AG48" s="140">
        <f t="shared" si="24"/>
        <v>154.8452380952381</v>
      </c>
      <c r="AH48" s="141">
        <f t="shared" si="24"/>
        <v>8.0462863293864373E-2</v>
      </c>
      <c r="AI48" s="141" t="str">
        <f t="shared" si="24"/>
        <v>no data</v>
      </c>
      <c r="AJ48" s="141">
        <f t="shared" si="24"/>
        <v>0</v>
      </c>
      <c r="AK48" s="140" t="str">
        <f>IF(AK20=0,"no data", SUM(AK20:AK26))</f>
        <v>no data</v>
      </c>
      <c r="AL48" s="140" t="str">
        <f>IF(AL20=0,"no data", AVERAGE(AL20:AL26))</f>
        <v>no data</v>
      </c>
      <c r="AM48" s="140" t="e">
        <f>AK48*AL48</f>
        <v>#VALUE!</v>
      </c>
      <c r="AN48" s="140" t="str">
        <f>IF(AN20=0,"no data", SUM(AN20:AN25))</f>
        <v>no data</v>
      </c>
      <c r="AO48" s="140" t="str">
        <f>IF(AO20=0,"no data", AVERAGE(AO20:AO25))</f>
        <v>no data</v>
      </c>
      <c r="AP48" s="140" t="e">
        <f>AN48*AO48</f>
        <v>#VALUE!</v>
      </c>
      <c r="AQ48" s="144">
        <f>IF(AQ20=0,"no data", AVERAGE(AQ20:AQ26))</f>
        <v>11829.239543478261</v>
      </c>
      <c r="AR48" s="135"/>
      <c r="AS48" s="136"/>
      <c r="AT48" s="145"/>
      <c r="AU48" s="145"/>
      <c r="AV48" s="145"/>
      <c r="AW48" s="145"/>
      <c r="AX48" s="145">
        <f>3413/12796</f>
        <v>0.26672397624257582</v>
      </c>
      <c r="AY48" s="145"/>
      <c r="AZ48" s="145"/>
      <c r="BA48" s="113"/>
      <c r="BB48" s="145"/>
      <c r="BC48" s="114"/>
      <c r="BD48" s="145"/>
      <c r="BE48" s="145"/>
      <c r="BF48" s="145"/>
      <c r="BG48" s="145"/>
      <c r="BS48" s="4"/>
      <c r="BT48" s="5"/>
      <c r="BU48" s="5"/>
      <c r="BV48" s="6"/>
    </row>
    <row r="49" spans="2:74">
      <c r="B49" s="127" t="s">
        <v>326</v>
      </c>
      <c r="C49" s="140">
        <f>IF(C21=0,"no data", AVERAGE(C27:C33))</f>
        <v>57.028571428571425</v>
      </c>
      <c r="D49" s="138">
        <f>IF(D21=0,"no data", AVERAGE(D27:D33))</f>
        <v>0.65185714285714291</v>
      </c>
      <c r="E49" s="140">
        <f>IF(E21=0,"no data", AVERAGE(E27:E33))</f>
        <v>47.971428571428568</v>
      </c>
      <c r="F49" s="140">
        <f>IF(F21=0,"no data", AVERAGE(F27:F33))</f>
        <v>74.242857142857147</v>
      </c>
      <c r="G49" s="140">
        <f>IF(G21=0,"no data", AVERAGE(G27:G33))</f>
        <v>46.671428571428571</v>
      </c>
      <c r="H49" s="137">
        <f>SUM(H27:H33)+INT(SUM(I27:I33)/60)</f>
        <v>0</v>
      </c>
      <c r="I49" s="137">
        <f>SUM(I27:I33)-INT(SUM(I27:I33)/60)*60</f>
        <v>0</v>
      </c>
      <c r="J49" s="137">
        <f>SUM(J27:J33)+INT(SUM(K27:K33)/60)</f>
        <v>7</v>
      </c>
      <c r="K49" s="137">
        <f>SUM(K27:K33)-INT(SUM(K27:K33)/60)*60</f>
        <v>25</v>
      </c>
      <c r="L49" s="137">
        <f>SUM(L27:L33)+INT(SUM(M27:M33)/60)</f>
        <v>0</v>
      </c>
      <c r="M49" s="137">
        <f>SUM(M27:M33)-INT(SUM(M27:M33)/60)*60</f>
        <v>0</v>
      </c>
      <c r="N49" s="137">
        <f>SUM(N27:N33)+INT(SUM(O27:O33)/60)</f>
        <v>127</v>
      </c>
      <c r="O49" s="137">
        <f>SUM(O27:O33)-INT(SUM(O27:O33)/60)*60</f>
        <v>31</v>
      </c>
      <c r="P49" s="137">
        <f>SUM(P27:P33)+INT(SUM(Q27:Q33)/60)</f>
        <v>0</v>
      </c>
      <c r="Q49" s="137">
        <f>SUM(Q27:Q33)-INT(SUM(Q27:Q33)/60)*60</f>
        <v>0</v>
      </c>
      <c r="R49" s="139">
        <f>IF(R27=0,"no data", AVERAGE(R27:R33))</f>
        <v>3717.2857142857142</v>
      </c>
      <c r="S49" s="139">
        <f>IF(S27=0,"no data", AVERAGE(S27:S33))</f>
        <v>355.42857142857144</v>
      </c>
      <c r="T49" s="139">
        <f>IF(T27=0,"no data", AVERAGE(T27:T33))</f>
        <v>341.85714285714283</v>
      </c>
      <c r="U49" s="139">
        <f>IF(U27=0,"no data", SUM(U27:U33))</f>
        <v>571</v>
      </c>
      <c r="V49" s="139">
        <f>IF(V27=0,"no data", SUM(V27:V33))</f>
        <v>597</v>
      </c>
      <c r="W49" s="146">
        <f>IF(W27=0,"no data", AVERAGE(W27:W33))</f>
        <v>43.857142857142854</v>
      </c>
      <c r="X49" s="140">
        <f>IF(AND(X27=0,X28=0,X29=0,X30=0,X31=0,X32=0,X33=0),"No outage",SUM(X27:X33))</f>
        <v>10080</v>
      </c>
      <c r="Y49" s="140">
        <f>IF(AND(Y27=0,Y28=0,Y29=0,Y30=0,Y31=0,Y32=0,Y33=0),"No outage",SUM(Y27:Y33))</f>
        <v>336</v>
      </c>
      <c r="Z49" s="146">
        <f>IF(Z27=0,"no data", AVERAGE(Z27:Z33))</f>
        <v>124.28571428571429</v>
      </c>
      <c r="AA49" s="140">
        <f>IF(AND(AA27=0,AA28=0,AA29=0,AA30=0,AA31=0,AA32=0,AA33=0),"No outage",SUM(AA27:AA33))</f>
        <v>240</v>
      </c>
      <c r="AB49" s="140">
        <f>IF(AB27=0,"no data", AVERAGE(AB27:AB33))</f>
        <v>143.57142857142858</v>
      </c>
      <c r="AC49" s="139">
        <f>IF(AC27=0,"no data", SUM(AC27:AC33))</f>
        <v>112</v>
      </c>
      <c r="AD49" s="139">
        <f>IF(AD27=0,"no data", SUM(AD27:AD33))</f>
        <v>-1822</v>
      </c>
      <c r="AE49" s="146">
        <f t="shared" ref="AE49:AJ49" si="25">IF(AE27=0,"no data", AVERAGE(AE27:AE33))</f>
        <v>11.285714285714286</v>
      </c>
      <c r="AF49" s="138">
        <f t="shared" si="25"/>
        <v>0.314873417721519</v>
      </c>
      <c r="AG49" s="140">
        <f t="shared" si="25"/>
        <v>154.88690476190476</v>
      </c>
      <c r="AH49" s="138">
        <f t="shared" si="25"/>
        <v>0.15378400215459198</v>
      </c>
      <c r="AI49" s="138">
        <f t="shared" si="25"/>
        <v>0.58313235727468704</v>
      </c>
      <c r="AJ49" s="138">
        <f t="shared" si="25"/>
        <v>0.16708057395143483</v>
      </c>
      <c r="AK49" s="139">
        <f>IF(AK27=0,"no data", SUM(AK27:AK33))</f>
        <v>2.7</v>
      </c>
      <c r="AL49" s="140">
        <f>IF(AL27=0,"no data", AVERAGE(AL27:AL33))</f>
        <v>23.548742857142855</v>
      </c>
      <c r="AM49" s="140">
        <f>AK49*AL49</f>
        <v>63.581605714285715</v>
      </c>
      <c r="AN49" s="140">
        <f>IF(AN27=0,"no data", SUM(AN27:AN33))</f>
        <v>4.9652900000000004</v>
      </c>
      <c r="AO49" s="140">
        <f>IF(AO27=0,"no data", AVERAGE(AO27:AO33))</f>
        <v>574.42857142857144</v>
      </c>
      <c r="AP49" s="140">
        <f>AN49*AO49</f>
        <v>2852.204441428572</v>
      </c>
      <c r="AQ49" s="144">
        <f>IF(AQ27=0,"no data", AVERAGE(AQ27:AQ33))</f>
        <v>9552.287635726796</v>
      </c>
      <c r="AR49" s="135"/>
      <c r="AS49" s="136"/>
      <c r="BA49" s="113"/>
      <c r="BC49" s="114"/>
      <c r="BS49" s="4"/>
      <c r="BT49" s="5"/>
      <c r="BU49" s="5"/>
      <c r="BV49" s="6"/>
    </row>
    <row r="50" spans="2:74">
      <c r="B50" s="127" t="s">
        <v>327</v>
      </c>
      <c r="C50" s="140">
        <f>IF(C34=0,"no data", AVERAGE(C34:C40))</f>
        <v>54.839999999999989</v>
      </c>
      <c r="D50" s="140">
        <f>IF(D34=0,"no data", AVERAGE(D34:D40))</f>
        <v>0.69697142857142858</v>
      </c>
      <c r="E50" s="140">
        <f>IF(E34=0,"no data", AVERAGE(E34:E40))</f>
        <v>47.56428571428571</v>
      </c>
      <c r="F50" s="140">
        <f>IF(F34=0,"no data", AVERAGE(F34:F40))</f>
        <v>70.2</v>
      </c>
      <c r="G50" s="140">
        <f>IF(G34=0,"no data", AVERAGE(G34:G40))</f>
        <v>44.98571428571428</v>
      </c>
      <c r="H50" s="137">
        <f>SUM(H34:H40)+INT(SUM(I34:I40)/60)</f>
        <v>0</v>
      </c>
      <c r="I50" s="137">
        <f>SUM(I34:I40)-INT(SUM(I34:I40)/60)*60</f>
        <v>0</v>
      </c>
      <c r="J50" s="137">
        <f>SUM(J34:J40)+INT(SUM(K34:K40)/60)</f>
        <v>0</v>
      </c>
      <c r="K50" s="137">
        <f>SUM(K34:K40)-INT(SUM(K34:K40)/60)*60</f>
        <v>0</v>
      </c>
      <c r="L50" s="137">
        <f>SUM(L34:L40)+INT(SUM(M34:M40)/60)</f>
        <v>0</v>
      </c>
      <c r="M50" s="137">
        <f>SUM(M34:M40)-INT(SUM(M34:M40)/60)*60</f>
        <v>0</v>
      </c>
      <c r="N50" s="137">
        <f>SUM(N34:N40)+INT(SUM(O34:O40)/60)</f>
        <v>168</v>
      </c>
      <c r="O50" s="137">
        <f>SUM(O34:O40)-INT(SUM(O34:O40)/60)*60</f>
        <v>0</v>
      </c>
      <c r="P50" s="137">
        <f>SUM(P34:P40)+INT(SUM(Q34:Q40)/60)</f>
        <v>0</v>
      </c>
      <c r="Q50" s="137">
        <f>SUM(Q34:Q40)-INT(SUM(Q34:Q40)/60)*60</f>
        <v>0</v>
      </c>
      <c r="R50" s="139">
        <f>IF(R28=0,"no data", AVERAGE(R34:R40))</f>
        <v>3719.7142857142858</v>
      </c>
      <c r="S50" s="139" t="str">
        <f>IF(S34=0,"no data", AVERAGE(S34:S40))</f>
        <v>no data</v>
      </c>
      <c r="T50" s="139" t="str">
        <f>IF(T34=0,"no data", AVERAGE(T34:T40))</f>
        <v>no data</v>
      </c>
      <c r="U50" s="139" t="str">
        <f>IF(U34=0,"no data", SUM(U34:U40))</f>
        <v>no data</v>
      </c>
      <c r="V50" s="139" t="str">
        <f>IF(V34=0,"no data", SUM(V34:V40))</f>
        <v>no data</v>
      </c>
      <c r="W50" s="146">
        <f>IF(W34=0,"no data", AVERAGE(W34:W40))</f>
        <v>44</v>
      </c>
      <c r="X50" s="140" t="e">
        <f>IF(AND(X34=0,X35=0,X36=0,X37=0,X38=0,X39=0,#REF!=0),"No outage",SUM(X34:X40))</f>
        <v>#REF!</v>
      </c>
      <c r="Y50" s="140" t="e">
        <f>IF(AND(Y34=0,Y35=0,Y36=0,Y37=0,Y38=0,Y39=0,#REF!=0),"No outage",SUM(Y34:Y40))</f>
        <v>#REF!</v>
      </c>
      <c r="Z50" s="146" t="str">
        <f>IF(Z34=0,"no data", AVERAGE(Z34:Z40))</f>
        <v>no data</v>
      </c>
      <c r="AA50" s="140" t="e">
        <f>IF(AND(AA34=0,AA35=0,AA36=0,AA37=0,AA38=0,AA39=0,#REF!=0),"No outage",SUM(AA34:AA40))</f>
        <v>#REF!</v>
      </c>
      <c r="AB50" s="140" t="str">
        <f>IF(AB34=0,"no data", AVERAGE(AB34:AB40))</f>
        <v>no data</v>
      </c>
      <c r="AC50" s="139">
        <f>IF(AC34=0,"no data", SUM(AC34:AC40))</f>
        <v>66</v>
      </c>
      <c r="AD50" s="139" t="str">
        <f>IF(AD34=0,"no data", SUM(AD34:AD40))</f>
        <v>no data</v>
      </c>
      <c r="AE50" s="146" t="str">
        <f>IF(AE34=0,"no data", AVERAGE(AE34:AE40))</f>
        <v>no data</v>
      </c>
      <c r="AF50" s="138" t="e">
        <f>IF(AF34=0,"no data", AVERAGE(AF34:AF40))</f>
        <v>#DIV/0!</v>
      </c>
      <c r="AG50" s="140">
        <f>IF(AG34=0,"no data", AVERAGE(AG34:AG40))</f>
        <v>154.98809523809524</v>
      </c>
      <c r="AH50" s="138" t="e">
        <f>IF(AH34=0,"no data", AVERAGE(AH34:AH40))</f>
        <v>#DIV/0!</v>
      </c>
      <c r="AI50" s="138">
        <f>IF(AI28=0,"no data", AVERAGE(AI34:AI40))</f>
        <v>0.6393442622950819</v>
      </c>
      <c r="AJ50" s="138" t="e">
        <f>IF(AJ34=0,"no data", AVERAGE(AJ34:AJ40))</f>
        <v>#DIV/0!</v>
      </c>
      <c r="AK50" s="139" t="str">
        <f>IF(AK34=0,"no data", SUM(AK34:AK40))</f>
        <v>no data</v>
      </c>
      <c r="AL50" s="140" t="str">
        <f>IF(AL34=0,"no data", AVERAGE(AL34:AL40))</f>
        <v>no data</v>
      </c>
      <c r="AM50" s="140" t="e">
        <f>AK50*AL50</f>
        <v>#VALUE!</v>
      </c>
      <c r="AN50" s="140" t="str">
        <f>IF(AN34=0,"no data", SUM(AN34:AN40))</f>
        <v>no data</v>
      </c>
      <c r="AO50" s="140" t="str">
        <f>IF(AO34=0,"no data", AVERAGE(AO34:AO40))</f>
        <v>no data</v>
      </c>
      <c r="AP50" s="140" t="e">
        <f>AN50*AO50</f>
        <v>#VALUE!</v>
      </c>
      <c r="AQ50" s="140" t="e">
        <f>IF(AQ34=0,"no data", AVERAGE(AQ34:AQ40))</f>
        <v>#DIV/0!</v>
      </c>
      <c r="AR50" s="135"/>
      <c r="AS50" s="136"/>
      <c r="BA50" s="113"/>
      <c r="BC50" s="114"/>
      <c r="BS50" s="4"/>
      <c r="BT50" s="5"/>
      <c r="BU50" s="5"/>
      <c r="BV50" s="6"/>
    </row>
    <row r="51" spans="2:74">
      <c r="B51" s="147"/>
      <c r="C51" s="148"/>
      <c r="D51" s="148"/>
      <c r="E51" s="148"/>
      <c r="F51" s="148"/>
      <c r="G51" s="149"/>
      <c r="H51" s="149"/>
      <c r="I51" s="149"/>
      <c r="J51" s="149"/>
      <c r="K51" s="150"/>
      <c r="L51" s="150"/>
      <c r="M51" s="150"/>
      <c r="N51" s="150"/>
      <c r="O51" s="151"/>
      <c r="P51" s="151"/>
      <c r="Q51" s="148"/>
      <c r="R51" s="148"/>
      <c r="S51" s="148"/>
      <c r="T51" s="148"/>
      <c r="U51" s="148"/>
      <c r="V51" s="148"/>
      <c r="W51" s="148"/>
      <c r="X51" s="148"/>
      <c r="Y51" s="148"/>
      <c r="Z51" s="148"/>
      <c r="AA51" s="148"/>
      <c r="AB51" s="148"/>
      <c r="AC51" s="151"/>
      <c r="AD51" s="151"/>
      <c r="AE51" s="148"/>
      <c r="AF51" s="151"/>
      <c r="AG51" s="151"/>
      <c r="AH51" s="148"/>
      <c r="AI51" s="148"/>
      <c r="AJ51" s="148"/>
      <c r="AK51" s="148"/>
      <c r="AL51" s="148"/>
      <c r="AM51" s="148"/>
      <c r="AQ51" s="126"/>
      <c r="AR51" s="126"/>
      <c r="AS51" s="126"/>
      <c r="AT51" s="126"/>
      <c r="BA51" s="113"/>
      <c r="BC51" s="114"/>
      <c r="BS51" s="4"/>
      <c r="BT51" s="5"/>
      <c r="BU51" s="5"/>
      <c r="BV51" s="6"/>
    </row>
    <row r="52" spans="2:74" ht="15.75" thickBot="1">
      <c r="B52" s="147"/>
      <c r="C52" s="148"/>
      <c r="D52" s="148"/>
      <c r="E52" s="148"/>
      <c r="F52" s="148"/>
      <c r="G52" s="149"/>
      <c r="H52" s="149"/>
      <c r="I52" s="149"/>
      <c r="J52" s="149"/>
      <c r="K52" s="150"/>
      <c r="L52" s="150"/>
      <c r="M52" s="150"/>
      <c r="N52" s="150"/>
      <c r="O52" s="151"/>
      <c r="P52" s="151"/>
      <c r="Q52" s="148"/>
      <c r="R52" s="148"/>
      <c r="S52" s="148"/>
      <c r="T52" s="148"/>
      <c r="U52" s="148"/>
      <c r="V52" s="148"/>
      <c r="W52" s="148"/>
      <c r="X52" s="148"/>
      <c r="Y52" s="148"/>
      <c r="Z52" s="148"/>
      <c r="AA52" s="148"/>
      <c r="AB52" s="148"/>
      <c r="AC52" s="151"/>
      <c r="AD52" s="151"/>
      <c r="AE52" s="148"/>
      <c r="AF52" s="151"/>
      <c r="AG52" s="151"/>
      <c r="AH52" s="148"/>
      <c r="AI52" s="148"/>
      <c r="AJ52" s="148"/>
      <c r="AK52" s="148"/>
      <c r="AL52" s="148"/>
      <c r="AM52" s="148"/>
      <c r="AQ52" s="126"/>
      <c r="AR52" s="126"/>
      <c r="AS52" s="126"/>
      <c r="AT52" s="126"/>
      <c r="BA52" s="113"/>
      <c r="BC52" s="114"/>
      <c r="BS52" s="4"/>
      <c r="BT52" s="5"/>
      <c r="BU52" s="5"/>
      <c r="BV52" s="6"/>
    </row>
    <row r="53" spans="2:74" ht="16.5" thickTop="1">
      <c r="B53" s="152" t="s">
        <v>121</v>
      </c>
      <c r="C53" s="430" t="s">
        <v>122</v>
      </c>
      <c r="D53" s="431"/>
      <c r="E53" s="431"/>
      <c r="F53" s="431"/>
      <c r="G53" s="431"/>
      <c r="H53" s="431"/>
      <c r="I53" s="431"/>
      <c r="J53" s="431"/>
      <c r="K53" s="431"/>
      <c r="L53" s="431"/>
      <c r="M53" s="431"/>
      <c r="N53" s="431"/>
      <c r="O53" s="431"/>
      <c r="P53" s="431"/>
      <c r="Q53" s="431"/>
      <c r="R53" s="431"/>
      <c r="S53" s="431"/>
      <c r="T53" s="431"/>
      <c r="U53" s="431"/>
      <c r="V53" s="431"/>
      <c r="W53" s="431"/>
      <c r="X53" s="431"/>
      <c r="Y53" s="431"/>
      <c r="Z53" s="431"/>
      <c r="AA53" s="431"/>
      <c r="AB53" s="431"/>
      <c r="AC53" s="431"/>
      <c r="AD53" s="431"/>
      <c r="AE53" s="432"/>
      <c r="AF53" s="151"/>
      <c r="AG53" s="151"/>
      <c r="AH53" s="148"/>
      <c r="AI53" s="148"/>
      <c r="AJ53" s="148"/>
      <c r="AK53" s="148"/>
      <c r="AL53" s="148"/>
      <c r="AM53" s="148"/>
      <c r="AQ53" s="126"/>
      <c r="AR53" s="126"/>
      <c r="AS53" s="126"/>
      <c r="AT53" s="126"/>
      <c r="BA53" s="113"/>
      <c r="BS53" s="4"/>
      <c r="BT53" s="5"/>
      <c r="BU53" s="5"/>
      <c r="BV53" s="6"/>
    </row>
    <row r="54" spans="2:74" ht="15.75">
      <c r="B54" s="153">
        <v>43435</v>
      </c>
      <c r="C54" s="416" t="s">
        <v>321</v>
      </c>
      <c r="D54" s="417"/>
      <c r="E54" s="417"/>
      <c r="F54" s="417"/>
      <c r="G54" s="417"/>
      <c r="H54" s="417"/>
      <c r="I54" s="417"/>
      <c r="J54" s="417"/>
      <c r="K54" s="417"/>
      <c r="L54" s="417"/>
      <c r="M54" s="417"/>
      <c r="N54" s="417"/>
      <c r="O54" s="417"/>
      <c r="P54" s="417"/>
      <c r="Q54" s="417"/>
      <c r="R54" s="417"/>
      <c r="S54" s="417"/>
      <c r="T54" s="417"/>
      <c r="U54" s="417"/>
      <c r="V54" s="417"/>
      <c r="W54" s="417"/>
      <c r="X54" s="417"/>
      <c r="Y54" s="417"/>
      <c r="Z54" s="417"/>
      <c r="AA54" s="417"/>
      <c r="AB54" s="417"/>
      <c r="AC54" s="417"/>
      <c r="AD54" s="417"/>
      <c r="AE54" s="418"/>
      <c r="AF54" s="151"/>
      <c r="AG54" s="151"/>
      <c r="AH54" s="148"/>
      <c r="AI54" s="148"/>
      <c r="AJ54" s="148"/>
      <c r="AK54" s="148"/>
      <c r="AL54" s="148"/>
      <c r="AM54" s="148"/>
      <c r="AQ54" s="126"/>
      <c r="AR54" s="126"/>
      <c r="AS54" s="126"/>
      <c r="AT54" s="126"/>
      <c r="BA54" s="113"/>
      <c r="BS54" s="4"/>
      <c r="BT54" s="5"/>
      <c r="BU54" s="5"/>
      <c r="BV54" s="6"/>
    </row>
    <row r="55" spans="2:74" ht="15.75" customHeight="1">
      <c r="B55" s="153">
        <v>43436</v>
      </c>
      <c r="C55" s="416" t="s">
        <v>321</v>
      </c>
      <c r="D55" s="417"/>
      <c r="E55" s="417"/>
      <c r="F55" s="417"/>
      <c r="G55" s="417"/>
      <c r="H55" s="417"/>
      <c r="I55" s="417"/>
      <c r="J55" s="417"/>
      <c r="K55" s="417"/>
      <c r="L55" s="417"/>
      <c r="M55" s="417"/>
      <c r="N55" s="417"/>
      <c r="O55" s="417"/>
      <c r="P55" s="417"/>
      <c r="Q55" s="417"/>
      <c r="R55" s="417"/>
      <c r="S55" s="417"/>
      <c r="T55" s="417"/>
      <c r="U55" s="417"/>
      <c r="V55" s="417"/>
      <c r="W55" s="417"/>
      <c r="X55" s="417"/>
      <c r="Y55" s="417"/>
      <c r="Z55" s="417"/>
      <c r="AA55" s="417"/>
      <c r="AB55" s="417"/>
      <c r="AC55" s="417"/>
      <c r="AD55" s="417"/>
      <c r="AE55" s="417"/>
      <c r="AF55" s="418"/>
      <c r="AG55" s="151"/>
      <c r="AH55" s="148"/>
      <c r="AI55" s="148"/>
      <c r="AJ55" s="148"/>
      <c r="AK55" s="148"/>
      <c r="AL55" s="148"/>
      <c r="AM55" s="148"/>
      <c r="AQ55" s="126"/>
      <c r="AR55" s="126"/>
      <c r="AS55" s="126"/>
      <c r="AT55" s="126"/>
      <c r="BA55" s="113"/>
      <c r="BS55" s="4"/>
      <c r="BT55" s="5"/>
      <c r="BU55" s="5"/>
      <c r="BV55" s="6"/>
    </row>
    <row r="56" spans="2:74" ht="15.75">
      <c r="B56" s="153">
        <v>43437</v>
      </c>
      <c r="C56" s="416" t="s">
        <v>321</v>
      </c>
      <c r="D56" s="417"/>
      <c r="E56" s="417"/>
      <c r="F56" s="417"/>
      <c r="G56" s="417"/>
      <c r="H56" s="417"/>
      <c r="I56" s="417"/>
      <c r="J56" s="417"/>
      <c r="K56" s="417"/>
      <c r="L56" s="417"/>
      <c r="M56" s="417"/>
      <c r="N56" s="417"/>
      <c r="O56" s="417"/>
      <c r="P56" s="417"/>
      <c r="Q56" s="417"/>
      <c r="R56" s="417"/>
      <c r="S56" s="417"/>
      <c r="T56" s="417"/>
      <c r="U56" s="417"/>
      <c r="V56" s="417"/>
      <c r="W56" s="417"/>
      <c r="X56" s="417"/>
      <c r="Y56" s="417"/>
      <c r="Z56" s="417"/>
      <c r="AA56" s="417"/>
      <c r="AB56" s="417"/>
      <c r="AC56" s="417"/>
      <c r="AD56" s="417"/>
      <c r="AE56" s="418"/>
      <c r="AF56" s="151"/>
      <c r="AG56" s="151"/>
      <c r="AH56" s="148"/>
      <c r="AI56" s="148"/>
      <c r="AJ56" s="148"/>
      <c r="AK56" s="148"/>
      <c r="AL56" s="148"/>
      <c r="AM56" s="148"/>
      <c r="AQ56" s="126"/>
      <c r="AR56" s="126"/>
      <c r="AS56" s="126"/>
      <c r="AT56" s="126"/>
      <c r="BA56" s="113"/>
      <c r="BS56" s="4"/>
      <c r="BT56" s="5"/>
      <c r="BU56" s="5"/>
      <c r="BV56" s="6"/>
    </row>
    <row r="57" spans="2:74" ht="15.75">
      <c r="B57" s="153">
        <v>43438</v>
      </c>
      <c r="C57" s="416" t="s">
        <v>321</v>
      </c>
      <c r="D57" s="417"/>
      <c r="E57" s="417"/>
      <c r="F57" s="417"/>
      <c r="G57" s="417"/>
      <c r="H57" s="417"/>
      <c r="I57" s="417"/>
      <c r="J57" s="417"/>
      <c r="K57" s="417"/>
      <c r="L57" s="417"/>
      <c r="M57" s="417"/>
      <c r="N57" s="417"/>
      <c r="O57" s="417"/>
      <c r="P57" s="417"/>
      <c r="Q57" s="417"/>
      <c r="R57" s="417"/>
      <c r="S57" s="417"/>
      <c r="T57" s="417"/>
      <c r="U57" s="417"/>
      <c r="V57" s="417"/>
      <c r="W57" s="417"/>
      <c r="X57" s="417"/>
      <c r="Y57" s="417"/>
      <c r="Z57" s="417"/>
      <c r="AA57" s="417"/>
      <c r="AB57" s="417"/>
      <c r="AC57" s="417"/>
      <c r="AD57" s="417"/>
      <c r="AE57" s="418"/>
      <c r="AF57" s="151"/>
      <c r="AG57" s="151"/>
      <c r="AH57" s="148"/>
      <c r="AI57" s="148"/>
      <c r="AJ57" s="148"/>
      <c r="AK57" s="148"/>
      <c r="AL57" s="148"/>
      <c r="AM57" s="148"/>
      <c r="AQ57" s="126"/>
      <c r="AR57" s="126"/>
      <c r="AS57" s="126"/>
      <c r="AT57" s="126"/>
      <c r="AU57">
        <v>17</v>
      </c>
      <c r="AV57">
        <v>16</v>
      </c>
      <c r="AW57">
        <v>20</v>
      </c>
      <c r="AX57">
        <f>AW57+AV57+AU57</f>
        <v>53</v>
      </c>
      <c r="BA57" s="113"/>
      <c r="BS57" s="4"/>
      <c r="BT57" s="5"/>
      <c r="BU57" s="5"/>
      <c r="BV57" s="6"/>
    </row>
    <row r="58" spans="2:74" ht="15.75">
      <c r="B58" s="153">
        <v>43439</v>
      </c>
      <c r="C58" s="416" t="s">
        <v>321</v>
      </c>
      <c r="D58" s="417"/>
      <c r="E58" s="417"/>
      <c r="F58" s="417"/>
      <c r="G58" s="417"/>
      <c r="H58" s="417"/>
      <c r="I58" s="417"/>
      <c r="J58" s="417"/>
      <c r="K58" s="417"/>
      <c r="L58" s="417"/>
      <c r="M58" s="417"/>
      <c r="N58" s="417"/>
      <c r="O58" s="417"/>
      <c r="P58" s="417"/>
      <c r="Q58" s="417"/>
      <c r="R58" s="417"/>
      <c r="S58" s="417"/>
      <c r="T58" s="417"/>
      <c r="U58" s="417"/>
      <c r="V58" s="417"/>
      <c r="W58" s="417"/>
      <c r="X58" s="417"/>
      <c r="Y58" s="417"/>
      <c r="Z58" s="417"/>
      <c r="AA58" s="417"/>
      <c r="AB58" s="417"/>
      <c r="AC58" s="417"/>
      <c r="AD58" s="417"/>
      <c r="AE58" s="418"/>
      <c r="AF58" s="151"/>
      <c r="AG58" s="151"/>
      <c r="AH58" s="148"/>
      <c r="AI58" s="148"/>
      <c r="AJ58" s="148"/>
      <c r="AK58" s="148"/>
      <c r="AL58" s="148"/>
      <c r="AM58" s="148"/>
      <c r="AQ58" s="126"/>
      <c r="AR58" s="126"/>
      <c r="AS58" s="126"/>
      <c r="AT58" s="126"/>
      <c r="AU58">
        <f>26.52+22.83</f>
        <v>49.349999999999994</v>
      </c>
      <c r="BA58" s="113"/>
      <c r="BS58" s="4"/>
      <c r="BT58" s="5"/>
      <c r="BU58" s="5"/>
      <c r="BV58" s="6"/>
    </row>
    <row r="59" spans="2:74" ht="15.75">
      <c r="B59" s="153">
        <v>43440</v>
      </c>
      <c r="C59" s="416" t="s">
        <v>321</v>
      </c>
      <c r="D59" s="417"/>
      <c r="E59" s="417"/>
      <c r="F59" s="417"/>
      <c r="G59" s="417"/>
      <c r="H59" s="417"/>
      <c r="I59" s="417"/>
      <c r="J59" s="417"/>
      <c r="K59" s="417"/>
      <c r="L59" s="417"/>
      <c r="M59" s="417"/>
      <c r="N59" s="417"/>
      <c r="O59" s="417"/>
      <c r="P59" s="417"/>
      <c r="Q59" s="417"/>
      <c r="R59" s="417"/>
      <c r="S59" s="417"/>
      <c r="T59" s="417"/>
      <c r="U59" s="417"/>
      <c r="V59" s="417"/>
      <c r="W59" s="417"/>
      <c r="X59" s="417"/>
      <c r="Y59" s="417"/>
      <c r="Z59" s="417"/>
      <c r="AA59" s="417"/>
      <c r="AB59" s="417"/>
      <c r="AC59" s="417"/>
      <c r="AD59" s="417"/>
      <c r="AE59" s="418"/>
      <c r="AF59" s="151"/>
      <c r="AG59" s="151"/>
      <c r="AH59" s="148"/>
      <c r="AI59" s="148"/>
      <c r="AJ59" s="148"/>
      <c r="AK59" s="148"/>
      <c r="AL59" s="148"/>
      <c r="AM59" s="148"/>
      <c r="AQ59" s="126"/>
      <c r="AR59" s="126"/>
      <c r="AS59" s="126"/>
      <c r="AT59" s="126"/>
      <c r="AU59">
        <f>AU58/2</f>
        <v>24.674999999999997</v>
      </c>
      <c r="BA59" s="113"/>
      <c r="BS59" s="4"/>
      <c r="BT59" s="5"/>
      <c r="BU59" s="5"/>
      <c r="BV59" s="6"/>
    </row>
    <row r="60" spans="2:74" ht="15.75">
      <c r="B60" s="153">
        <v>43441</v>
      </c>
      <c r="C60" s="416" t="s">
        <v>321</v>
      </c>
      <c r="D60" s="417"/>
      <c r="E60" s="417"/>
      <c r="F60" s="417"/>
      <c r="G60" s="417"/>
      <c r="H60" s="417"/>
      <c r="I60" s="417"/>
      <c r="J60" s="417"/>
      <c r="K60" s="417"/>
      <c r="L60" s="417"/>
      <c r="M60" s="417"/>
      <c r="N60" s="417"/>
      <c r="O60" s="417"/>
      <c r="P60" s="417"/>
      <c r="Q60" s="417"/>
      <c r="R60" s="417"/>
      <c r="S60" s="417"/>
      <c r="T60" s="417"/>
      <c r="U60" s="417"/>
      <c r="V60" s="417"/>
      <c r="W60" s="417"/>
      <c r="X60" s="417"/>
      <c r="Y60" s="417"/>
      <c r="Z60" s="417"/>
      <c r="AA60" s="417"/>
      <c r="AB60" s="417"/>
      <c r="AC60" s="417"/>
      <c r="AD60" s="417"/>
      <c r="AE60" s="418"/>
      <c r="AF60" s="151"/>
      <c r="AG60" s="151"/>
      <c r="AH60" s="148"/>
      <c r="AI60" s="148"/>
      <c r="AJ60" s="148"/>
      <c r="AK60" s="148"/>
      <c r="AL60" s="148"/>
      <c r="AM60" s="148"/>
      <c r="AQ60" s="126"/>
      <c r="AR60" s="126"/>
      <c r="AS60" s="126"/>
      <c r="AT60" s="126"/>
      <c r="BA60" s="113"/>
      <c r="BS60" s="4"/>
      <c r="BT60" s="5"/>
      <c r="BU60" s="5"/>
      <c r="BV60" s="6"/>
    </row>
    <row r="61" spans="2:74" ht="15.75">
      <c r="B61" s="153">
        <v>43442</v>
      </c>
      <c r="C61" s="416" t="s">
        <v>321</v>
      </c>
      <c r="D61" s="417"/>
      <c r="E61" s="417"/>
      <c r="F61" s="417"/>
      <c r="G61" s="417"/>
      <c r="H61" s="417"/>
      <c r="I61" s="417"/>
      <c r="J61" s="417"/>
      <c r="K61" s="417"/>
      <c r="L61" s="417"/>
      <c r="M61" s="417"/>
      <c r="N61" s="417"/>
      <c r="O61" s="417"/>
      <c r="P61" s="417"/>
      <c r="Q61" s="417"/>
      <c r="R61" s="417"/>
      <c r="S61" s="417"/>
      <c r="T61" s="417"/>
      <c r="U61" s="417"/>
      <c r="V61" s="417"/>
      <c r="W61" s="417"/>
      <c r="X61" s="417"/>
      <c r="Y61" s="417"/>
      <c r="Z61" s="417"/>
      <c r="AA61" s="417"/>
      <c r="AB61" s="417"/>
      <c r="AC61" s="417"/>
      <c r="AD61" s="417"/>
      <c r="AE61" s="418"/>
      <c r="AF61" s="151"/>
      <c r="AG61" s="151"/>
      <c r="AH61" s="148"/>
      <c r="AI61" s="148"/>
      <c r="AJ61" s="148"/>
      <c r="AK61" s="148"/>
      <c r="AL61" s="148"/>
      <c r="AM61" s="148"/>
      <c r="AQ61" s="126"/>
      <c r="AR61" s="126"/>
      <c r="AS61" s="126"/>
      <c r="AT61" s="126"/>
      <c r="BA61" s="113"/>
      <c r="BS61" s="4"/>
      <c r="BT61" s="5"/>
      <c r="BU61" s="5"/>
      <c r="BV61" s="6"/>
    </row>
    <row r="62" spans="2:74" ht="15.75">
      <c r="B62" s="153">
        <v>43443</v>
      </c>
      <c r="C62" s="416" t="s">
        <v>321</v>
      </c>
      <c r="D62" s="417"/>
      <c r="E62" s="417"/>
      <c r="F62" s="417"/>
      <c r="G62" s="417"/>
      <c r="H62" s="417"/>
      <c r="I62" s="417"/>
      <c r="J62" s="417"/>
      <c r="K62" s="417"/>
      <c r="L62" s="417"/>
      <c r="M62" s="417"/>
      <c r="N62" s="417"/>
      <c r="O62" s="417"/>
      <c r="P62" s="417"/>
      <c r="Q62" s="417"/>
      <c r="R62" s="417"/>
      <c r="S62" s="417"/>
      <c r="T62" s="417"/>
      <c r="U62" s="417"/>
      <c r="V62" s="417"/>
      <c r="W62" s="417"/>
      <c r="X62" s="417"/>
      <c r="Y62" s="417"/>
      <c r="Z62" s="417"/>
      <c r="AA62" s="417"/>
      <c r="AB62" s="417"/>
      <c r="AC62" s="417"/>
      <c r="AD62" s="417"/>
      <c r="AE62" s="418"/>
      <c r="AF62" s="151"/>
      <c r="AG62" s="151"/>
      <c r="AH62" s="148"/>
      <c r="AI62" s="148"/>
      <c r="AJ62" s="148"/>
      <c r="AK62" s="148"/>
      <c r="AL62" s="148"/>
      <c r="AM62" s="148"/>
      <c r="AQ62" s="126"/>
      <c r="AR62" s="126"/>
      <c r="AS62" s="126"/>
      <c r="AT62" s="126"/>
      <c r="BA62" s="113"/>
      <c r="BS62" s="4"/>
      <c r="BT62" s="5"/>
      <c r="BU62" s="5"/>
      <c r="BV62" s="6"/>
    </row>
    <row r="63" spans="2:74" ht="15.75">
      <c r="B63" s="153">
        <v>43444</v>
      </c>
      <c r="C63" s="416" t="s">
        <v>328</v>
      </c>
      <c r="D63" s="417"/>
      <c r="E63" s="417"/>
      <c r="F63" s="417"/>
      <c r="G63" s="417"/>
      <c r="H63" s="417"/>
      <c r="I63" s="417"/>
      <c r="J63" s="417"/>
      <c r="K63" s="417"/>
      <c r="L63" s="417"/>
      <c r="M63" s="417"/>
      <c r="N63" s="417"/>
      <c r="O63" s="417"/>
      <c r="P63" s="417"/>
      <c r="Q63" s="417"/>
      <c r="R63" s="417"/>
      <c r="S63" s="417"/>
      <c r="T63" s="417"/>
      <c r="U63" s="417"/>
      <c r="V63" s="417"/>
      <c r="W63" s="417"/>
      <c r="X63" s="417"/>
      <c r="Y63" s="417"/>
      <c r="Z63" s="417"/>
      <c r="AA63" s="417"/>
      <c r="AB63" s="417"/>
      <c r="AC63" s="417"/>
      <c r="AD63" s="417"/>
      <c r="AE63" s="418"/>
      <c r="AF63" s="151"/>
      <c r="AG63" s="151"/>
      <c r="AH63" s="148"/>
      <c r="AI63" s="148"/>
      <c r="AJ63" s="148"/>
      <c r="AK63" s="148"/>
      <c r="AL63" s="148"/>
      <c r="AM63" s="148"/>
      <c r="AQ63" s="126"/>
      <c r="AR63" s="126"/>
      <c r="AS63" s="126"/>
      <c r="AT63" s="126"/>
      <c r="BA63" s="113"/>
      <c r="BS63" s="4"/>
      <c r="BT63" s="5"/>
      <c r="BU63" s="5"/>
      <c r="BV63" s="6"/>
    </row>
    <row r="64" spans="2:74" ht="15.75">
      <c r="B64" s="153">
        <v>43445</v>
      </c>
      <c r="C64" s="416" t="s">
        <v>328</v>
      </c>
      <c r="D64" s="417"/>
      <c r="E64" s="417"/>
      <c r="F64" s="417"/>
      <c r="G64" s="417"/>
      <c r="H64" s="417"/>
      <c r="I64" s="417"/>
      <c r="J64" s="417"/>
      <c r="K64" s="417"/>
      <c r="L64" s="417"/>
      <c r="M64" s="417"/>
      <c r="N64" s="417"/>
      <c r="O64" s="417"/>
      <c r="P64" s="417"/>
      <c r="Q64" s="417"/>
      <c r="R64" s="417"/>
      <c r="S64" s="417"/>
      <c r="T64" s="417"/>
      <c r="U64" s="417"/>
      <c r="V64" s="417"/>
      <c r="W64" s="417"/>
      <c r="X64" s="417"/>
      <c r="Y64" s="417"/>
      <c r="Z64" s="417"/>
      <c r="AA64" s="417"/>
      <c r="AB64" s="417"/>
      <c r="AC64" s="417"/>
      <c r="AD64" s="417"/>
      <c r="AE64" s="418"/>
      <c r="AF64" s="151"/>
      <c r="AG64" s="151"/>
      <c r="AH64" s="148"/>
      <c r="AI64" s="148"/>
      <c r="AJ64" s="148"/>
      <c r="AK64" s="148"/>
      <c r="AL64" s="148"/>
      <c r="AM64" s="148"/>
      <c r="AQ64" s="126"/>
      <c r="AR64" s="126"/>
      <c r="AS64" s="126"/>
      <c r="AT64" s="126"/>
      <c r="BA64" s="113"/>
      <c r="BS64" s="4"/>
      <c r="BT64" s="5"/>
      <c r="BU64" s="5"/>
      <c r="BV64" s="6"/>
    </row>
    <row r="65" spans="2:74" ht="15.75">
      <c r="B65" s="153">
        <v>43446</v>
      </c>
      <c r="C65" s="416" t="s">
        <v>328</v>
      </c>
      <c r="D65" s="417"/>
      <c r="E65" s="417"/>
      <c r="F65" s="417"/>
      <c r="G65" s="417"/>
      <c r="H65" s="417"/>
      <c r="I65" s="417"/>
      <c r="J65" s="417"/>
      <c r="K65" s="417"/>
      <c r="L65" s="417"/>
      <c r="M65" s="417"/>
      <c r="N65" s="417"/>
      <c r="O65" s="417"/>
      <c r="P65" s="417"/>
      <c r="Q65" s="417"/>
      <c r="R65" s="417"/>
      <c r="S65" s="417"/>
      <c r="T65" s="417"/>
      <c r="U65" s="417"/>
      <c r="V65" s="417"/>
      <c r="W65" s="417"/>
      <c r="X65" s="417"/>
      <c r="Y65" s="417"/>
      <c r="Z65" s="417"/>
      <c r="AA65" s="417"/>
      <c r="AB65" s="417"/>
      <c r="AC65" s="417"/>
      <c r="AD65" s="417"/>
      <c r="AE65" s="418"/>
      <c r="AF65" s="151"/>
      <c r="AG65" s="151"/>
      <c r="AH65" s="148"/>
      <c r="AI65" s="148"/>
      <c r="AJ65" s="148"/>
      <c r="AK65" s="148"/>
      <c r="AL65" s="148"/>
      <c r="AM65" s="148"/>
      <c r="AQ65" s="126"/>
      <c r="AR65" s="126"/>
      <c r="AS65" s="126"/>
      <c r="AT65" s="126"/>
      <c r="BA65" s="113"/>
      <c r="BS65" s="4"/>
      <c r="BT65" s="5"/>
      <c r="BU65" s="5"/>
      <c r="BV65" s="6"/>
    </row>
    <row r="66" spans="2:74" ht="15.75">
      <c r="B66" s="153">
        <v>43447</v>
      </c>
      <c r="C66" s="416" t="s">
        <v>328</v>
      </c>
      <c r="D66" s="417"/>
      <c r="E66" s="417"/>
      <c r="F66" s="417"/>
      <c r="G66" s="417"/>
      <c r="H66" s="417"/>
      <c r="I66" s="417"/>
      <c r="J66" s="417"/>
      <c r="K66" s="417"/>
      <c r="L66" s="417"/>
      <c r="M66" s="417"/>
      <c r="N66" s="417"/>
      <c r="O66" s="417"/>
      <c r="P66" s="417"/>
      <c r="Q66" s="417"/>
      <c r="R66" s="417"/>
      <c r="S66" s="417"/>
      <c r="T66" s="417"/>
      <c r="U66" s="417"/>
      <c r="V66" s="417"/>
      <c r="W66" s="417"/>
      <c r="X66" s="417"/>
      <c r="Y66" s="417"/>
      <c r="Z66" s="417"/>
      <c r="AA66" s="417"/>
      <c r="AB66" s="417"/>
      <c r="AC66" s="417"/>
      <c r="AD66" s="417"/>
      <c r="AE66" s="418"/>
      <c r="AF66" s="151"/>
      <c r="AG66" s="151"/>
      <c r="AH66" s="148"/>
      <c r="AI66" s="148"/>
      <c r="AJ66" s="148"/>
      <c r="AK66" s="148"/>
      <c r="AL66" s="148"/>
      <c r="AM66" s="148"/>
      <c r="AQ66" s="126"/>
      <c r="AR66" s="126"/>
      <c r="AS66" s="126"/>
      <c r="AT66" s="126"/>
      <c r="BA66" s="113"/>
      <c r="BS66" s="4"/>
      <c r="BT66" s="5"/>
      <c r="BU66" s="5"/>
      <c r="BV66" s="6"/>
    </row>
    <row r="67" spans="2:74" ht="15.75">
      <c r="B67" s="153">
        <v>43448</v>
      </c>
      <c r="C67" s="416" t="s">
        <v>329</v>
      </c>
      <c r="D67" s="417"/>
      <c r="E67" s="417"/>
      <c r="F67" s="417"/>
      <c r="G67" s="417"/>
      <c r="H67" s="417"/>
      <c r="I67" s="417"/>
      <c r="J67" s="417"/>
      <c r="K67" s="417"/>
      <c r="L67" s="417"/>
      <c r="M67" s="417"/>
      <c r="N67" s="417"/>
      <c r="O67" s="417"/>
      <c r="P67" s="417"/>
      <c r="Q67" s="417"/>
      <c r="R67" s="417"/>
      <c r="S67" s="417"/>
      <c r="T67" s="417"/>
      <c r="U67" s="417"/>
      <c r="V67" s="417"/>
      <c r="W67" s="417"/>
      <c r="X67" s="417"/>
      <c r="Y67" s="417"/>
      <c r="Z67" s="417"/>
      <c r="AA67" s="417"/>
      <c r="AB67" s="417"/>
      <c r="AC67" s="417"/>
      <c r="AD67" s="417"/>
      <c r="AE67" s="418"/>
      <c r="AF67" s="151"/>
      <c r="AG67" s="151"/>
      <c r="AH67" s="148"/>
      <c r="AI67" s="148"/>
      <c r="AJ67" s="148"/>
      <c r="AK67" s="148"/>
      <c r="AL67" s="148"/>
      <c r="AM67" s="148"/>
      <c r="AQ67" s="126"/>
      <c r="AR67" s="126"/>
      <c r="AS67" s="126"/>
      <c r="AT67" s="126"/>
      <c r="BA67" s="113"/>
      <c r="BS67" s="4"/>
      <c r="BT67" s="5"/>
      <c r="BU67" s="5"/>
      <c r="BV67" s="6"/>
    </row>
    <row r="68" spans="2:74" ht="15.75">
      <c r="B68" s="153">
        <v>43449</v>
      </c>
      <c r="C68" s="416" t="s">
        <v>330</v>
      </c>
      <c r="D68" s="417"/>
      <c r="E68" s="417"/>
      <c r="F68" s="417"/>
      <c r="G68" s="417"/>
      <c r="H68" s="417"/>
      <c r="I68" s="417"/>
      <c r="J68" s="417"/>
      <c r="K68" s="417"/>
      <c r="L68" s="417"/>
      <c r="M68" s="417"/>
      <c r="N68" s="417"/>
      <c r="O68" s="417"/>
      <c r="P68" s="417"/>
      <c r="Q68" s="417"/>
      <c r="R68" s="417"/>
      <c r="S68" s="417"/>
      <c r="T68" s="417"/>
      <c r="U68" s="417"/>
      <c r="V68" s="417"/>
      <c r="W68" s="417"/>
      <c r="X68" s="417"/>
      <c r="Y68" s="417"/>
      <c r="Z68" s="417"/>
      <c r="AA68" s="417"/>
      <c r="AB68" s="417"/>
      <c r="AC68" s="417"/>
      <c r="AD68" s="417"/>
      <c r="AE68" s="418"/>
      <c r="AF68" s="151"/>
      <c r="AG68" s="151"/>
      <c r="AH68" s="148"/>
      <c r="AI68" s="148"/>
      <c r="AJ68" s="148"/>
      <c r="AK68" s="148"/>
      <c r="AL68" s="148"/>
      <c r="AM68" s="148"/>
      <c r="AQ68" s="126"/>
      <c r="AR68" s="126"/>
      <c r="AS68" s="126"/>
      <c r="AT68" s="126"/>
      <c r="BA68" s="113"/>
      <c r="BS68" s="4"/>
      <c r="BT68" s="5"/>
      <c r="BU68" s="5"/>
      <c r="BV68" s="6"/>
    </row>
    <row r="69" spans="2:74" ht="15.75">
      <c r="B69" s="153">
        <v>43450</v>
      </c>
      <c r="C69" s="416" t="s">
        <v>331</v>
      </c>
      <c r="D69" s="417"/>
      <c r="E69" s="417"/>
      <c r="F69" s="417"/>
      <c r="G69" s="417"/>
      <c r="H69" s="417"/>
      <c r="I69" s="417"/>
      <c r="J69" s="417"/>
      <c r="K69" s="417"/>
      <c r="L69" s="417"/>
      <c r="M69" s="417"/>
      <c r="N69" s="417"/>
      <c r="O69" s="417"/>
      <c r="P69" s="417"/>
      <c r="Q69" s="417"/>
      <c r="R69" s="417"/>
      <c r="S69" s="417"/>
      <c r="T69" s="417"/>
      <c r="U69" s="417"/>
      <c r="V69" s="417"/>
      <c r="W69" s="417"/>
      <c r="X69" s="417"/>
      <c r="Y69" s="417"/>
      <c r="Z69" s="417"/>
      <c r="AA69" s="417"/>
      <c r="AB69" s="417"/>
      <c r="AC69" s="417"/>
      <c r="AD69" s="417"/>
      <c r="AE69" s="418"/>
      <c r="AF69" s="151"/>
      <c r="AG69" s="151"/>
      <c r="AH69" s="148"/>
      <c r="AI69" s="148"/>
      <c r="AJ69" s="148"/>
      <c r="AK69" s="148"/>
      <c r="AL69" s="148"/>
      <c r="AM69" s="148"/>
      <c r="AQ69" s="126"/>
      <c r="AR69" s="126"/>
      <c r="AS69" s="126"/>
      <c r="AT69" s="126"/>
      <c r="BA69" s="113"/>
      <c r="BS69" s="4"/>
      <c r="BT69" s="5"/>
      <c r="BU69" s="5"/>
      <c r="BV69" s="6"/>
    </row>
    <row r="70" spans="2:74" ht="15" customHeight="1">
      <c r="B70" s="153">
        <v>43451</v>
      </c>
      <c r="C70" s="416" t="s">
        <v>332</v>
      </c>
      <c r="D70" s="417"/>
      <c r="E70" s="417"/>
      <c r="F70" s="417"/>
      <c r="G70" s="417"/>
      <c r="H70" s="417"/>
      <c r="I70" s="417"/>
      <c r="J70" s="417"/>
      <c r="K70" s="417"/>
      <c r="L70" s="417"/>
      <c r="M70" s="417"/>
      <c r="N70" s="417"/>
      <c r="O70" s="417"/>
      <c r="P70" s="417"/>
      <c r="Q70" s="417"/>
      <c r="R70" s="417"/>
      <c r="S70" s="417"/>
      <c r="T70" s="417"/>
      <c r="U70" s="417"/>
      <c r="V70" s="417"/>
      <c r="W70" s="417"/>
      <c r="X70" s="417"/>
      <c r="Y70" s="417"/>
      <c r="Z70" s="417"/>
      <c r="AA70" s="417"/>
      <c r="AB70" s="417"/>
      <c r="AC70" s="417"/>
      <c r="AD70" s="417"/>
      <c r="AE70" s="418"/>
      <c r="AF70" s="151"/>
      <c r="AG70" s="151"/>
      <c r="AH70" s="148"/>
      <c r="AI70" s="148"/>
      <c r="AJ70" s="148"/>
      <c r="AK70" s="148"/>
      <c r="AL70" s="148"/>
      <c r="AM70" s="148"/>
      <c r="AQ70" s="126"/>
      <c r="AR70" s="126"/>
      <c r="AS70" s="126"/>
      <c r="AT70" s="126"/>
      <c r="BA70" s="113"/>
      <c r="BS70" s="4"/>
      <c r="BT70" s="5"/>
      <c r="BU70" s="5"/>
      <c r="BV70" s="6"/>
    </row>
    <row r="71" spans="2:74" ht="15.75">
      <c r="B71" s="153">
        <v>43452</v>
      </c>
      <c r="C71" s="416" t="s">
        <v>333</v>
      </c>
      <c r="D71" s="417"/>
      <c r="E71" s="417"/>
      <c r="F71" s="417"/>
      <c r="G71" s="417"/>
      <c r="H71" s="417"/>
      <c r="I71" s="417"/>
      <c r="J71" s="417"/>
      <c r="K71" s="417"/>
      <c r="L71" s="417"/>
      <c r="M71" s="417"/>
      <c r="N71" s="417"/>
      <c r="O71" s="417"/>
      <c r="P71" s="417"/>
      <c r="Q71" s="417"/>
      <c r="R71" s="417"/>
      <c r="S71" s="417"/>
      <c r="T71" s="417"/>
      <c r="U71" s="417"/>
      <c r="V71" s="417"/>
      <c r="W71" s="417"/>
      <c r="X71" s="417"/>
      <c r="Y71" s="417"/>
      <c r="Z71" s="417"/>
      <c r="AA71" s="417"/>
      <c r="AB71" s="417"/>
      <c r="AC71" s="417"/>
      <c r="AD71" s="417"/>
      <c r="AE71" s="418"/>
      <c r="AF71" s="151"/>
      <c r="AG71" s="151"/>
      <c r="AH71" s="148"/>
      <c r="AI71" s="148"/>
      <c r="AJ71" s="148"/>
      <c r="AK71" s="148"/>
      <c r="AL71" s="148"/>
      <c r="AM71" s="148"/>
      <c r="AQ71" s="126"/>
      <c r="AR71" s="126"/>
      <c r="AS71" s="126"/>
      <c r="AT71" s="126"/>
      <c r="BA71" s="113"/>
      <c r="BS71" s="4"/>
      <c r="BT71" s="5"/>
      <c r="BU71" s="5"/>
      <c r="BV71" s="6"/>
    </row>
    <row r="72" spans="2:74" ht="15.75">
      <c r="B72" s="153">
        <v>43453</v>
      </c>
      <c r="C72" s="416" t="s">
        <v>334</v>
      </c>
      <c r="D72" s="417"/>
      <c r="E72" s="417"/>
      <c r="F72" s="417"/>
      <c r="G72" s="417"/>
      <c r="H72" s="417"/>
      <c r="I72" s="417"/>
      <c r="J72" s="417"/>
      <c r="K72" s="417"/>
      <c r="L72" s="417"/>
      <c r="M72" s="417"/>
      <c r="N72" s="417"/>
      <c r="O72" s="417"/>
      <c r="P72" s="417"/>
      <c r="Q72" s="417"/>
      <c r="R72" s="417"/>
      <c r="S72" s="417"/>
      <c r="T72" s="417"/>
      <c r="U72" s="417"/>
      <c r="V72" s="417"/>
      <c r="W72" s="417"/>
      <c r="X72" s="417"/>
      <c r="Y72" s="417"/>
      <c r="Z72" s="417"/>
      <c r="AA72" s="417"/>
      <c r="AB72" s="417"/>
      <c r="AC72" s="417"/>
      <c r="AD72" s="417"/>
      <c r="AE72" s="418"/>
      <c r="AF72" s="151"/>
      <c r="AG72" s="151"/>
      <c r="AH72" s="148"/>
      <c r="AI72" s="148"/>
      <c r="AJ72" s="148"/>
      <c r="AK72" s="148"/>
      <c r="AL72" s="148"/>
      <c r="AM72" s="148"/>
      <c r="AQ72" s="126"/>
      <c r="AR72" s="126"/>
      <c r="AS72" s="126"/>
      <c r="AT72" s="126"/>
      <c r="BA72" s="113"/>
      <c r="BS72" s="4"/>
      <c r="BT72" s="5"/>
      <c r="BU72" s="5"/>
      <c r="BV72" s="6"/>
    </row>
    <row r="73" spans="2:74" ht="15.75">
      <c r="B73" s="153">
        <v>43454</v>
      </c>
      <c r="C73" s="416" t="s">
        <v>334</v>
      </c>
      <c r="D73" s="417"/>
      <c r="E73" s="417"/>
      <c r="F73" s="417"/>
      <c r="G73" s="417"/>
      <c r="H73" s="417"/>
      <c r="I73" s="417"/>
      <c r="J73" s="417"/>
      <c r="K73" s="417"/>
      <c r="L73" s="417"/>
      <c r="M73" s="417"/>
      <c r="N73" s="417"/>
      <c r="O73" s="417"/>
      <c r="P73" s="417"/>
      <c r="Q73" s="417"/>
      <c r="R73" s="417"/>
      <c r="S73" s="417"/>
      <c r="T73" s="417"/>
      <c r="U73" s="417"/>
      <c r="V73" s="417"/>
      <c r="W73" s="417"/>
      <c r="X73" s="417"/>
      <c r="Y73" s="417"/>
      <c r="Z73" s="417"/>
      <c r="AA73" s="417"/>
      <c r="AB73" s="417"/>
      <c r="AC73" s="417"/>
      <c r="AD73" s="417"/>
      <c r="AE73" s="418"/>
      <c r="AF73" s="151"/>
      <c r="AG73" s="151"/>
      <c r="AH73" s="148"/>
      <c r="AI73" s="148"/>
      <c r="AJ73" s="148"/>
      <c r="AK73" s="148"/>
      <c r="AL73" s="148"/>
      <c r="AM73" s="148"/>
      <c r="AQ73" s="126"/>
      <c r="AR73" s="126"/>
      <c r="AS73" s="126"/>
      <c r="AT73" s="126"/>
      <c r="BA73" s="113"/>
      <c r="BS73" s="4"/>
      <c r="BT73" s="5"/>
      <c r="BU73" s="5"/>
      <c r="BV73" s="6"/>
    </row>
    <row r="74" spans="2:74" ht="15.75">
      <c r="B74" s="153">
        <v>43455</v>
      </c>
      <c r="C74" s="416" t="s">
        <v>334</v>
      </c>
      <c r="D74" s="417"/>
      <c r="E74" s="417"/>
      <c r="F74" s="417"/>
      <c r="G74" s="417"/>
      <c r="H74" s="417"/>
      <c r="I74" s="417"/>
      <c r="J74" s="417"/>
      <c r="K74" s="417"/>
      <c r="L74" s="417"/>
      <c r="M74" s="417"/>
      <c r="N74" s="417"/>
      <c r="O74" s="417"/>
      <c r="P74" s="417"/>
      <c r="Q74" s="417"/>
      <c r="R74" s="417"/>
      <c r="S74" s="417"/>
      <c r="T74" s="417"/>
      <c r="U74" s="417"/>
      <c r="V74" s="417"/>
      <c r="W74" s="417"/>
      <c r="X74" s="417"/>
      <c r="Y74" s="417"/>
      <c r="Z74" s="417"/>
      <c r="AA74" s="417"/>
      <c r="AB74" s="417"/>
      <c r="AC74" s="417"/>
      <c r="AD74" s="417"/>
      <c r="AE74" s="418"/>
      <c r="AF74" s="151"/>
      <c r="AG74" s="151"/>
      <c r="AH74" s="148"/>
      <c r="AI74" s="148"/>
      <c r="AJ74" s="148"/>
      <c r="AK74" s="148"/>
      <c r="AL74" s="148"/>
      <c r="AM74" s="148"/>
      <c r="AQ74" s="126"/>
      <c r="AR74" s="126"/>
      <c r="AS74" s="126"/>
      <c r="AT74" s="126"/>
      <c r="BA74" s="113"/>
      <c r="BS74" s="4"/>
      <c r="BT74" s="5"/>
      <c r="BU74" s="5"/>
      <c r="BV74" s="6"/>
    </row>
    <row r="75" spans="2:74" ht="15.75">
      <c r="B75" s="153">
        <v>43456</v>
      </c>
      <c r="C75" s="416" t="s">
        <v>334</v>
      </c>
      <c r="D75" s="417"/>
      <c r="E75" s="417"/>
      <c r="F75" s="417"/>
      <c r="G75" s="417"/>
      <c r="H75" s="417"/>
      <c r="I75" s="417"/>
      <c r="J75" s="417"/>
      <c r="K75" s="417"/>
      <c r="L75" s="417"/>
      <c r="M75" s="417"/>
      <c r="N75" s="417"/>
      <c r="O75" s="417"/>
      <c r="P75" s="417"/>
      <c r="Q75" s="417"/>
      <c r="R75" s="417"/>
      <c r="S75" s="417"/>
      <c r="T75" s="417"/>
      <c r="U75" s="417"/>
      <c r="V75" s="417"/>
      <c r="W75" s="417"/>
      <c r="X75" s="417"/>
      <c r="Y75" s="417"/>
      <c r="Z75" s="417"/>
      <c r="AA75" s="417"/>
      <c r="AB75" s="417"/>
      <c r="AC75" s="417"/>
      <c r="AD75" s="417"/>
      <c r="AE75" s="418"/>
      <c r="AF75" s="151"/>
      <c r="AG75" s="151"/>
      <c r="AH75" s="148"/>
      <c r="AI75" s="148"/>
      <c r="AJ75" s="148"/>
      <c r="AK75" s="148"/>
      <c r="AL75" s="148"/>
      <c r="AM75" s="148"/>
      <c r="AQ75" s="126"/>
      <c r="AR75" s="126"/>
      <c r="AS75" s="126"/>
      <c r="AT75" s="126"/>
      <c r="BA75" s="113"/>
      <c r="BS75" s="4"/>
      <c r="BT75" s="5"/>
      <c r="BU75" s="5"/>
      <c r="BV75" s="6"/>
    </row>
    <row r="76" spans="2:74" ht="15.75">
      <c r="B76" s="153">
        <v>43457</v>
      </c>
      <c r="C76" s="416" t="s">
        <v>334</v>
      </c>
      <c r="D76" s="417"/>
      <c r="E76" s="417"/>
      <c r="F76" s="417"/>
      <c r="G76" s="417"/>
      <c r="H76" s="417"/>
      <c r="I76" s="417"/>
      <c r="J76" s="417"/>
      <c r="K76" s="417"/>
      <c r="L76" s="417"/>
      <c r="M76" s="417"/>
      <c r="N76" s="417"/>
      <c r="O76" s="417"/>
      <c r="P76" s="417"/>
      <c r="Q76" s="417"/>
      <c r="R76" s="417"/>
      <c r="S76" s="417"/>
      <c r="T76" s="417"/>
      <c r="U76" s="417"/>
      <c r="V76" s="417"/>
      <c r="W76" s="417"/>
      <c r="X76" s="417"/>
      <c r="Y76" s="417"/>
      <c r="Z76" s="417"/>
      <c r="AA76" s="417"/>
      <c r="AB76" s="417"/>
      <c r="AC76" s="417"/>
      <c r="AD76" s="417"/>
      <c r="AE76" s="418"/>
      <c r="AF76" s="151"/>
      <c r="AG76" s="151"/>
      <c r="AH76" s="148"/>
      <c r="AI76" s="148"/>
      <c r="AJ76" s="148"/>
      <c r="AK76" s="148"/>
      <c r="AL76" s="148"/>
      <c r="AM76" s="148"/>
      <c r="AQ76" s="126"/>
      <c r="AR76" s="126"/>
      <c r="AS76" s="126"/>
      <c r="AT76" s="126"/>
      <c r="BA76" s="113"/>
      <c r="BS76" s="4"/>
      <c r="BT76" s="5"/>
      <c r="BU76" s="5"/>
      <c r="BV76" s="6"/>
    </row>
    <row r="77" spans="2:74" ht="15.75">
      <c r="B77" s="153">
        <v>43458</v>
      </c>
      <c r="C77" s="416" t="s">
        <v>334</v>
      </c>
      <c r="D77" s="417"/>
      <c r="E77" s="417"/>
      <c r="F77" s="417"/>
      <c r="G77" s="417"/>
      <c r="H77" s="417"/>
      <c r="I77" s="417"/>
      <c r="J77" s="417"/>
      <c r="K77" s="417"/>
      <c r="L77" s="417"/>
      <c r="M77" s="417"/>
      <c r="N77" s="417"/>
      <c r="O77" s="417"/>
      <c r="P77" s="417"/>
      <c r="Q77" s="417"/>
      <c r="R77" s="417"/>
      <c r="S77" s="417"/>
      <c r="T77" s="417"/>
      <c r="U77" s="417"/>
      <c r="V77" s="417"/>
      <c r="W77" s="417"/>
      <c r="X77" s="417"/>
      <c r="Y77" s="417"/>
      <c r="Z77" s="417"/>
      <c r="AA77" s="417"/>
      <c r="AB77" s="417"/>
      <c r="AC77" s="417"/>
      <c r="AD77" s="417"/>
      <c r="AE77" s="418"/>
      <c r="AF77" s="151"/>
      <c r="AG77" s="151"/>
      <c r="AH77" s="148"/>
      <c r="AI77" s="148"/>
      <c r="AJ77" s="148"/>
      <c r="AK77" s="148"/>
      <c r="AL77" s="148"/>
      <c r="AM77" s="148"/>
      <c r="AQ77" s="126"/>
      <c r="AR77" s="126"/>
      <c r="AS77" s="126"/>
      <c r="AT77" s="126"/>
      <c r="BA77" s="113"/>
      <c r="BS77" s="4"/>
      <c r="BT77" s="5"/>
      <c r="BU77" s="5"/>
      <c r="BV77" s="6"/>
    </row>
    <row r="78" spans="2:74" ht="15.75">
      <c r="B78" s="153">
        <v>43459</v>
      </c>
      <c r="C78" s="416" t="s">
        <v>334</v>
      </c>
      <c r="D78" s="417"/>
      <c r="E78" s="417"/>
      <c r="F78" s="417"/>
      <c r="G78" s="417"/>
      <c r="H78" s="417"/>
      <c r="I78" s="417"/>
      <c r="J78" s="417"/>
      <c r="K78" s="417"/>
      <c r="L78" s="417"/>
      <c r="M78" s="417"/>
      <c r="N78" s="417"/>
      <c r="O78" s="417"/>
      <c r="P78" s="417"/>
      <c r="Q78" s="417"/>
      <c r="R78" s="417"/>
      <c r="S78" s="417"/>
      <c r="T78" s="417"/>
      <c r="U78" s="417"/>
      <c r="V78" s="417"/>
      <c r="W78" s="417"/>
      <c r="X78" s="417"/>
      <c r="Y78" s="417"/>
      <c r="Z78" s="417"/>
      <c r="AA78" s="417"/>
      <c r="AB78" s="417"/>
      <c r="AC78" s="417"/>
      <c r="AD78" s="417"/>
      <c r="AE78" s="418"/>
      <c r="AF78" s="151"/>
      <c r="AG78" s="151"/>
      <c r="AH78" s="148"/>
      <c r="AI78" s="148"/>
      <c r="AJ78" s="148"/>
      <c r="AK78" s="148"/>
      <c r="AL78" s="148"/>
      <c r="AM78" s="148"/>
      <c r="AQ78" s="126"/>
      <c r="AR78" s="126"/>
      <c r="AS78" s="126"/>
      <c r="AT78" s="126"/>
      <c r="BA78" s="113"/>
      <c r="BS78" s="4"/>
      <c r="BT78" s="5"/>
      <c r="BU78" s="5"/>
      <c r="BV78" s="6"/>
    </row>
    <row r="79" spans="2:74" ht="15.75">
      <c r="B79" s="153">
        <v>43460</v>
      </c>
      <c r="C79" s="416" t="s">
        <v>334</v>
      </c>
      <c r="D79" s="417"/>
      <c r="E79" s="417"/>
      <c r="F79" s="417"/>
      <c r="G79" s="417"/>
      <c r="H79" s="417"/>
      <c r="I79" s="417"/>
      <c r="J79" s="417"/>
      <c r="K79" s="417"/>
      <c r="L79" s="417"/>
      <c r="M79" s="417"/>
      <c r="N79" s="417"/>
      <c r="O79" s="417"/>
      <c r="P79" s="417"/>
      <c r="Q79" s="417"/>
      <c r="R79" s="417"/>
      <c r="S79" s="417"/>
      <c r="T79" s="417"/>
      <c r="U79" s="417"/>
      <c r="V79" s="417"/>
      <c r="W79" s="417"/>
      <c r="X79" s="417"/>
      <c r="Y79" s="417"/>
      <c r="Z79" s="417"/>
      <c r="AA79" s="417"/>
      <c r="AB79" s="417"/>
      <c r="AC79" s="417"/>
      <c r="AD79" s="417"/>
      <c r="AE79" s="418"/>
      <c r="AF79" s="151"/>
      <c r="AG79" s="151"/>
      <c r="AH79" s="148"/>
      <c r="AI79" s="148"/>
      <c r="AJ79" s="148"/>
      <c r="AK79" s="148"/>
      <c r="AL79" s="148"/>
      <c r="AM79" s="148"/>
      <c r="AQ79" s="126"/>
      <c r="AR79" s="126"/>
      <c r="AS79" s="126"/>
      <c r="AT79" s="126"/>
      <c r="BA79" s="113"/>
      <c r="BS79" s="4"/>
      <c r="BT79" s="5"/>
      <c r="BU79" s="5"/>
      <c r="BV79" s="6"/>
    </row>
    <row r="80" spans="2:74" ht="15.75">
      <c r="B80" s="153">
        <v>43461</v>
      </c>
      <c r="C80" s="416" t="s">
        <v>334</v>
      </c>
      <c r="D80" s="417"/>
      <c r="E80" s="417"/>
      <c r="F80" s="417"/>
      <c r="G80" s="417"/>
      <c r="H80" s="417"/>
      <c r="I80" s="417"/>
      <c r="J80" s="417"/>
      <c r="K80" s="417"/>
      <c r="L80" s="417"/>
      <c r="M80" s="417"/>
      <c r="N80" s="417"/>
      <c r="O80" s="417"/>
      <c r="P80" s="417"/>
      <c r="Q80" s="417"/>
      <c r="R80" s="417"/>
      <c r="S80" s="417"/>
      <c r="T80" s="417"/>
      <c r="U80" s="417"/>
      <c r="V80" s="417"/>
      <c r="W80" s="417"/>
      <c r="X80" s="417"/>
      <c r="Y80" s="417"/>
      <c r="Z80" s="417"/>
      <c r="AA80" s="417"/>
      <c r="AB80" s="417"/>
      <c r="AC80" s="417"/>
      <c r="AD80" s="417"/>
      <c r="AE80" s="418"/>
      <c r="AF80" s="151"/>
      <c r="AG80" s="151"/>
      <c r="AH80" s="148"/>
      <c r="AI80" s="148"/>
      <c r="AJ80" s="148"/>
      <c r="AK80" s="148"/>
      <c r="AL80" s="148"/>
      <c r="AM80" s="148"/>
      <c r="AQ80" s="126"/>
      <c r="AR80" s="126"/>
      <c r="AS80" s="126"/>
      <c r="AT80" s="126"/>
      <c r="BA80" s="113"/>
      <c r="BS80" s="4"/>
      <c r="BT80" s="5"/>
      <c r="BU80" s="5"/>
      <c r="BV80" s="6"/>
    </row>
    <row r="81" spans="2:74" ht="15.75">
      <c r="B81" s="153">
        <v>43462</v>
      </c>
      <c r="C81" s="416" t="s">
        <v>334</v>
      </c>
      <c r="D81" s="417"/>
      <c r="E81" s="417"/>
      <c r="F81" s="417"/>
      <c r="G81" s="417"/>
      <c r="H81" s="417"/>
      <c r="I81" s="417"/>
      <c r="J81" s="417"/>
      <c r="K81" s="417"/>
      <c r="L81" s="417"/>
      <c r="M81" s="417"/>
      <c r="N81" s="417"/>
      <c r="O81" s="417"/>
      <c r="P81" s="417"/>
      <c r="Q81" s="417"/>
      <c r="R81" s="417"/>
      <c r="S81" s="417"/>
      <c r="T81" s="417"/>
      <c r="U81" s="417"/>
      <c r="V81" s="417"/>
      <c r="W81" s="417"/>
      <c r="X81" s="417"/>
      <c r="Y81" s="417"/>
      <c r="Z81" s="417"/>
      <c r="AA81" s="417"/>
      <c r="AB81" s="417"/>
      <c r="AC81" s="417"/>
      <c r="AD81" s="417"/>
      <c r="AE81" s="418"/>
      <c r="AF81" s="151"/>
      <c r="AG81" s="151"/>
      <c r="AH81" s="148"/>
      <c r="AI81" s="148"/>
      <c r="AJ81" s="148"/>
      <c r="AK81" s="148"/>
      <c r="AL81" s="148"/>
      <c r="AM81" s="148"/>
      <c r="AQ81" s="126"/>
      <c r="AR81" s="126"/>
      <c r="AS81" s="126"/>
      <c r="AT81" s="126"/>
      <c r="BA81" s="113"/>
      <c r="BS81" s="4"/>
      <c r="BT81" s="5"/>
      <c r="BU81" s="5"/>
      <c r="BV81" s="6"/>
    </row>
    <row r="82" spans="2:74" ht="15.75">
      <c r="B82" s="153">
        <v>43463</v>
      </c>
      <c r="C82" s="416" t="s">
        <v>334</v>
      </c>
      <c r="D82" s="417"/>
      <c r="E82" s="417"/>
      <c r="F82" s="417"/>
      <c r="G82" s="417"/>
      <c r="H82" s="417"/>
      <c r="I82" s="417"/>
      <c r="J82" s="417"/>
      <c r="K82" s="417"/>
      <c r="L82" s="417"/>
      <c r="M82" s="417"/>
      <c r="N82" s="417"/>
      <c r="O82" s="417"/>
      <c r="P82" s="417"/>
      <c r="Q82" s="417"/>
      <c r="R82" s="417"/>
      <c r="S82" s="417"/>
      <c r="T82" s="417"/>
      <c r="U82" s="417"/>
      <c r="V82" s="417"/>
      <c r="W82" s="417"/>
      <c r="X82" s="417"/>
      <c r="Y82" s="417"/>
      <c r="Z82" s="417"/>
      <c r="AA82" s="417"/>
      <c r="AB82" s="417"/>
      <c r="AC82" s="417"/>
      <c r="AD82" s="417"/>
      <c r="AE82" s="418"/>
      <c r="AF82" s="151"/>
      <c r="AG82" s="151"/>
      <c r="AH82" s="148"/>
      <c r="AI82" s="148"/>
      <c r="AJ82" s="148"/>
      <c r="AK82" s="148"/>
      <c r="AL82" s="148"/>
      <c r="AM82" s="148"/>
      <c r="AQ82" s="126"/>
      <c r="AR82" s="126"/>
      <c r="AS82" s="126"/>
      <c r="AT82" s="126"/>
      <c r="BA82" s="113"/>
      <c r="BS82" s="4"/>
      <c r="BT82" s="5"/>
      <c r="BU82" s="5"/>
      <c r="BV82" s="6"/>
    </row>
    <row r="83" spans="2:74" ht="15.75">
      <c r="B83" s="153">
        <v>43464</v>
      </c>
      <c r="C83" s="416" t="s">
        <v>334</v>
      </c>
      <c r="D83" s="417"/>
      <c r="E83" s="417"/>
      <c r="F83" s="417"/>
      <c r="G83" s="417"/>
      <c r="H83" s="417"/>
      <c r="I83" s="417"/>
      <c r="J83" s="417"/>
      <c r="K83" s="417"/>
      <c r="L83" s="417"/>
      <c r="M83" s="417"/>
      <c r="N83" s="417"/>
      <c r="O83" s="417"/>
      <c r="P83" s="417"/>
      <c r="Q83" s="417"/>
      <c r="R83" s="417"/>
      <c r="S83" s="417"/>
      <c r="T83" s="417"/>
      <c r="U83" s="417"/>
      <c r="V83" s="417"/>
      <c r="W83" s="417"/>
      <c r="X83" s="417"/>
      <c r="Y83" s="417"/>
      <c r="Z83" s="417"/>
      <c r="AA83" s="417"/>
      <c r="AB83" s="417"/>
      <c r="AC83" s="417"/>
      <c r="AD83" s="417"/>
      <c r="AE83" s="418"/>
      <c r="AF83" s="151"/>
      <c r="AG83" s="151"/>
      <c r="AH83" s="148"/>
      <c r="AI83" s="148"/>
      <c r="AJ83" s="148"/>
      <c r="AK83" s="148"/>
      <c r="AL83" s="148"/>
      <c r="AM83" s="148"/>
      <c r="AQ83" s="126"/>
      <c r="AR83" s="126"/>
      <c r="AS83" s="126"/>
      <c r="AT83" s="126"/>
      <c r="BA83" s="113"/>
      <c r="BS83" s="4"/>
      <c r="BT83" s="5"/>
      <c r="BU83" s="5"/>
      <c r="BV83" s="6"/>
    </row>
    <row r="84" spans="2:74" ht="15.75">
      <c r="B84" s="153">
        <v>43465</v>
      </c>
      <c r="C84" s="416" t="s">
        <v>334</v>
      </c>
      <c r="D84" s="417"/>
      <c r="E84" s="417"/>
      <c r="F84" s="417"/>
      <c r="G84" s="417"/>
      <c r="H84" s="417"/>
      <c r="I84" s="417"/>
      <c r="J84" s="417"/>
      <c r="K84" s="417"/>
      <c r="L84" s="417"/>
      <c r="M84" s="417"/>
      <c r="N84" s="417"/>
      <c r="O84" s="417"/>
      <c r="P84" s="417"/>
      <c r="Q84" s="417"/>
      <c r="R84" s="417"/>
      <c r="S84" s="417"/>
      <c r="T84" s="417"/>
      <c r="U84" s="417"/>
      <c r="V84" s="417"/>
      <c r="W84" s="417"/>
      <c r="X84" s="417"/>
      <c r="Y84" s="417"/>
      <c r="Z84" s="417"/>
      <c r="AA84" s="417"/>
      <c r="AB84" s="417"/>
      <c r="AC84" s="417"/>
      <c r="AD84" s="417"/>
      <c r="AE84" s="418"/>
      <c r="AF84" s="151"/>
      <c r="AG84" s="151"/>
      <c r="AH84" s="148"/>
      <c r="AI84" s="148"/>
      <c r="AJ84" s="148"/>
      <c r="AK84" s="148"/>
      <c r="AL84" s="148"/>
      <c r="AM84" s="148"/>
      <c r="AQ84" s="126"/>
      <c r="AR84" s="126"/>
      <c r="AS84" s="126"/>
      <c r="AT84" s="126"/>
      <c r="BA84" s="113"/>
      <c r="BS84" s="4"/>
      <c r="BT84" s="5"/>
      <c r="BU84" s="5"/>
      <c r="BV84" s="6"/>
    </row>
    <row r="103" spans="9:18">
      <c r="L103">
        <f>15+(53/60)</f>
        <v>15.883333333333333</v>
      </c>
      <c r="M103">
        <f>L103-L104</f>
        <v>17.466666666666669</v>
      </c>
      <c r="N103">
        <f>M103*60</f>
        <v>1048</v>
      </c>
    </row>
    <row r="104" spans="9:18">
      <c r="I104">
        <v>23</v>
      </c>
      <c r="J104">
        <v>6</v>
      </c>
      <c r="K104">
        <f>I104+(J104/60)</f>
        <v>23.1</v>
      </c>
      <c r="L104">
        <f>K105-K104</f>
        <v>-1.5833333333333357</v>
      </c>
      <c r="M104">
        <f>L104-15</f>
        <v>-16.583333333333336</v>
      </c>
      <c r="N104">
        <f>M104*60</f>
        <v>-995.00000000000011</v>
      </c>
      <c r="R104">
        <f>54/60</f>
        <v>0.9</v>
      </c>
    </row>
    <row r="105" spans="9:18">
      <c r="I105">
        <v>21</v>
      </c>
      <c r="J105">
        <v>31</v>
      </c>
      <c r="K105">
        <f>I105+(J105/60)</f>
        <v>21.516666666666666</v>
      </c>
      <c r="L105">
        <f>L104-13</f>
        <v>-14.583333333333336</v>
      </c>
      <c r="M105">
        <f>L105*60</f>
        <v>-875.00000000000011</v>
      </c>
      <c r="R105">
        <f>R104*60</f>
        <v>54</v>
      </c>
    </row>
    <row r="107" spans="9:18">
      <c r="O107">
        <f>23.1-13.58</f>
        <v>9.5200000000000014</v>
      </c>
      <c r="P107">
        <f>O107-9</f>
        <v>0.52000000000000135</v>
      </c>
      <c r="Q107">
        <f>P107*60</f>
        <v>31.200000000000081</v>
      </c>
    </row>
  </sheetData>
  <mergeCells count="117">
    <mergeCell ref="C83:AE83"/>
    <mergeCell ref="C84:AE84"/>
    <mergeCell ref="C77:AE77"/>
    <mergeCell ref="C78:AE78"/>
    <mergeCell ref="C79:AE79"/>
    <mergeCell ref="C80:AE80"/>
    <mergeCell ref="C81:AE81"/>
    <mergeCell ref="C82:AE82"/>
    <mergeCell ref="C71:AE71"/>
    <mergeCell ref="C72:AE72"/>
    <mergeCell ref="C73:AE73"/>
    <mergeCell ref="C74:AE74"/>
    <mergeCell ref="C75:AE75"/>
    <mergeCell ref="C76:AE76"/>
    <mergeCell ref="A34:A41"/>
    <mergeCell ref="C65:AE65"/>
    <mergeCell ref="C66:AE66"/>
    <mergeCell ref="C67:AE67"/>
    <mergeCell ref="C68:AE68"/>
    <mergeCell ref="C69:AE69"/>
    <mergeCell ref="C70:AE70"/>
    <mergeCell ref="C59:AE59"/>
    <mergeCell ref="C60:AE60"/>
    <mergeCell ref="C61:AE61"/>
    <mergeCell ref="C62:AE62"/>
    <mergeCell ref="C63:AE63"/>
    <mergeCell ref="C64:AE64"/>
    <mergeCell ref="P45:Q45"/>
    <mergeCell ref="C53:AE53"/>
    <mergeCell ref="C54:AE54"/>
    <mergeCell ref="C56:AE56"/>
    <mergeCell ref="C57:AE57"/>
    <mergeCell ref="C58:AE58"/>
    <mergeCell ref="F45:G45"/>
    <mergeCell ref="H45:I45"/>
    <mergeCell ref="J45:K45"/>
    <mergeCell ref="L45:M45"/>
    <mergeCell ref="N45:O45"/>
    <mergeCell ref="C55:AF55"/>
    <mergeCell ref="BO4:BO5"/>
    <mergeCell ref="BW4:BW5"/>
    <mergeCell ref="A6:A12"/>
    <mergeCell ref="A13:A19"/>
    <mergeCell ref="A20:A26"/>
    <mergeCell ref="A27:A33"/>
    <mergeCell ref="CA3:CA5"/>
    <mergeCell ref="CB3:CB5"/>
    <mergeCell ref="AJ3:AJ5"/>
    <mergeCell ref="AK3:AK5"/>
    <mergeCell ref="AL3:AL5"/>
    <mergeCell ref="AM3:AM5"/>
    <mergeCell ref="AN3:AN5"/>
    <mergeCell ref="AO3:AO5"/>
    <mergeCell ref="AD3:AD5"/>
    <mergeCell ref="AE3:AE5"/>
    <mergeCell ref="AF3:AF5"/>
    <mergeCell ref="AG3:AG5"/>
    <mergeCell ref="AH3:AH5"/>
    <mergeCell ref="AI3:AI5"/>
    <mergeCell ref="X3:X5"/>
    <mergeCell ref="Y3:Y5"/>
    <mergeCell ref="Z3:Z5"/>
    <mergeCell ref="CD3:CE3"/>
    <mergeCell ref="AX3:AX5"/>
    <mergeCell ref="AY3:AY5"/>
    <mergeCell ref="AZ3:AZ5"/>
    <mergeCell ref="BB3:BB5"/>
    <mergeCell ref="BC3:BC5"/>
    <mergeCell ref="AP3:AP5"/>
    <mergeCell ref="AQ3:AQ5"/>
    <mergeCell ref="AR3:AR5"/>
    <mergeCell ref="AT3:AT5"/>
    <mergeCell ref="AU3:AU5"/>
    <mergeCell ref="AV3:AV5"/>
    <mergeCell ref="CF3:CG3"/>
    <mergeCell ref="H4:I4"/>
    <mergeCell ref="J4:K4"/>
    <mergeCell ref="L4:M4"/>
    <mergeCell ref="N4:O4"/>
    <mergeCell ref="BH4:BH5"/>
    <mergeCell ref="BI4:BI5"/>
    <mergeCell ref="BQ3:BQ5"/>
    <mergeCell ref="BR3:BR5"/>
    <mergeCell ref="BT3:BT5"/>
    <mergeCell ref="BU3:BU5"/>
    <mergeCell ref="BX3:BX5"/>
    <mergeCell ref="BY3:BY5"/>
    <mergeCell ref="BD3:BD5"/>
    <mergeCell ref="BE3:BE5"/>
    <mergeCell ref="BF3:BF5"/>
    <mergeCell ref="BG3:BG5"/>
    <mergeCell ref="BL3:BM3"/>
    <mergeCell ref="BP3:BP5"/>
    <mergeCell ref="BK4:BK5"/>
    <mergeCell ref="BL4:BL5"/>
    <mergeCell ref="BM4:BM5"/>
    <mergeCell ref="BN4:BN5"/>
    <mergeCell ref="AW3:AW5"/>
    <mergeCell ref="B1:Y1"/>
    <mergeCell ref="B2:AG2"/>
    <mergeCell ref="B3:B5"/>
    <mergeCell ref="C3:C5"/>
    <mergeCell ref="D3:D5"/>
    <mergeCell ref="E3:E5"/>
    <mergeCell ref="F3:G4"/>
    <mergeCell ref="H3:K3"/>
    <mergeCell ref="L3:O3"/>
    <mergeCell ref="P3:Q4"/>
    <mergeCell ref="AA3:AA5"/>
    <mergeCell ref="AB3:AB5"/>
    <mergeCell ref="AC3:AC5"/>
    <mergeCell ref="R3:R5"/>
    <mergeCell ref="S3:S5"/>
    <mergeCell ref="T3:T5"/>
    <mergeCell ref="U3:U5"/>
    <mergeCell ref="V3:V5"/>
    <mergeCell ref="W3:W5"/>
  </mergeCells>
  <conditionalFormatting sqref="R13:T15 R16">
    <cfRule type="cellIs" dxfId="0" priority="1" stopIfTrue="1" operator="greaterThan">
      <formula>3768</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G79"/>
  <sheetViews>
    <sheetView workbookViewId="0">
      <pane xSplit="2" ySplit="4" topLeftCell="C20" activePane="bottomRight" state="frozen"/>
      <selection pane="topRight" activeCell="C1" sqref="C1"/>
      <selection pane="bottomLeft" activeCell="A5" sqref="A5"/>
      <selection pane="bottomRight" activeCell="G38" sqref="G38"/>
    </sheetView>
  </sheetViews>
  <sheetFormatPr defaultRowHeight="15"/>
  <cols>
    <col min="39" max="39" width="9.5703125" bestFit="1" customWidth="1"/>
    <col min="42" max="42" width="9.5703125" bestFit="1" customWidth="1"/>
    <col min="72" max="72" width="10.28515625" customWidth="1"/>
    <col min="73" max="73" width="10.140625" customWidth="1"/>
  </cols>
  <sheetData>
    <row r="1" spans="1:85" ht="18.75" thickBot="1">
      <c r="B1" s="490">
        <v>43132</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7"/>
      <c r="AI1" s="7"/>
      <c r="AJ1" s="7"/>
      <c r="AK1" s="8"/>
      <c r="AL1" s="8"/>
      <c r="AM1" s="8"/>
      <c r="AN1" s="8"/>
      <c r="AO1" s="8"/>
      <c r="AP1" s="8"/>
      <c r="AQ1" s="8"/>
      <c r="AR1" s="8"/>
      <c r="AS1" s="9"/>
      <c r="AT1" s="10"/>
      <c r="AU1" s="10"/>
      <c r="AV1" s="10"/>
      <c r="AW1" s="10"/>
      <c r="AX1" s="10"/>
      <c r="AY1" s="11"/>
      <c r="AZ1" s="11"/>
      <c r="BA1" s="4"/>
      <c r="BS1" s="4"/>
      <c r="BT1" s="5"/>
      <c r="BU1" s="5"/>
      <c r="BV1" s="6"/>
    </row>
    <row r="2" spans="1:85" ht="30.75" thickBot="1">
      <c r="A2" s="12"/>
      <c r="B2" s="491" t="s">
        <v>1</v>
      </c>
      <c r="C2" s="442" t="s">
        <v>2</v>
      </c>
      <c r="D2" s="494" t="s">
        <v>3</v>
      </c>
      <c r="E2" s="442" t="s">
        <v>130</v>
      </c>
      <c r="F2" s="497" t="s">
        <v>4</v>
      </c>
      <c r="G2" s="498"/>
      <c r="H2" s="477" t="s">
        <v>5</v>
      </c>
      <c r="I2" s="501"/>
      <c r="J2" s="501"/>
      <c r="K2" s="480"/>
      <c r="L2" s="477" t="s">
        <v>6</v>
      </c>
      <c r="M2" s="501"/>
      <c r="N2" s="501"/>
      <c r="O2" s="480"/>
      <c r="P2" s="502" t="s">
        <v>7</v>
      </c>
      <c r="Q2" s="503"/>
      <c r="R2" s="506" t="s">
        <v>8</v>
      </c>
      <c r="S2" s="422" t="s">
        <v>9</v>
      </c>
      <c r="T2" s="425" t="s">
        <v>10</v>
      </c>
      <c r="U2" s="433" t="s">
        <v>11</v>
      </c>
      <c r="V2" s="436" t="s">
        <v>12</v>
      </c>
      <c r="W2" s="439" t="s">
        <v>13</v>
      </c>
      <c r="X2" s="439" t="s">
        <v>14</v>
      </c>
      <c r="Y2" s="439" t="s">
        <v>15</v>
      </c>
      <c r="Z2" s="439" t="s">
        <v>16</v>
      </c>
      <c r="AA2" s="439" t="s">
        <v>17</v>
      </c>
      <c r="AB2" s="439" t="s">
        <v>18</v>
      </c>
      <c r="AC2" s="515" t="s">
        <v>19</v>
      </c>
      <c r="AD2" s="512" t="s">
        <v>20</v>
      </c>
      <c r="AE2" s="509" t="s">
        <v>21</v>
      </c>
      <c r="AF2" s="512" t="s">
        <v>22</v>
      </c>
      <c r="AG2" s="465" t="s">
        <v>23</v>
      </c>
      <c r="AH2" s="465" t="s">
        <v>24</v>
      </c>
      <c r="AI2" s="465" t="s">
        <v>25</v>
      </c>
      <c r="AJ2" s="468" t="s">
        <v>26</v>
      </c>
      <c r="AK2" s="518" t="s">
        <v>27</v>
      </c>
      <c r="AL2" s="419" t="s">
        <v>28</v>
      </c>
      <c r="AM2" s="468" t="s">
        <v>29</v>
      </c>
      <c r="AN2" s="419" t="s">
        <v>30</v>
      </c>
      <c r="AO2" s="419" t="s">
        <v>31</v>
      </c>
      <c r="AP2" s="468" t="s">
        <v>32</v>
      </c>
      <c r="AQ2" s="471" t="s">
        <v>33</v>
      </c>
      <c r="AR2" s="459" t="s">
        <v>34</v>
      </c>
      <c r="AS2" s="13"/>
      <c r="AT2" s="462" t="s">
        <v>35</v>
      </c>
      <c r="AU2" s="447" t="s">
        <v>36</v>
      </c>
      <c r="AV2" s="447" t="s">
        <v>37</v>
      </c>
      <c r="AW2" s="447" t="s">
        <v>38</v>
      </c>
      <c r="AX2" s="447" t="s">
        <v>39</v>
      </c>
      <c r="AY2" s="447" t="s">
        <v>40</v>
      </c>
      <c r="AZ2" s="447" t="s">
        <v>41</v>
      </c>
      <c r="BA2" s="4"/>
      <c r="BB2" s="447" t="s">
        <v>42</v>
      </c>
      <c r="BC2" s="447" t="s">
        <v>43</v>
      </c>
      <c r="BD2" s="447" t="s">
        <v>44</v>
      </c>
      <c r="BE2" s="447" t="s">
        <v>45</v>
      </c>
      <c r="BF2" s="447" t="s">
        <v>46</v>
      </c>
      <c r="BG2" s="447" t="s">
        <v>47</v>
      </c>
      <c r="BH2" s="14" t="s">
        <v>48</v>
      </c>
      <c r="BI2" s="14" t="s">
        <v>49</v>
      </c>
      <c r="BJ2" s="14" t="s">
        <v>50</v>
      </c>
      <c r="BK2" s="14" t="s">
        <v>51</v>
      </c>
      <c r="BL2" s="445" t="s">
        <v>52</v>
      </c>
      <c r="BM2" s="446"/>
      <c r="BN2" s="14" t="s">
        <v>53</v>
      </c>
      <c r="BO2" s="14" t="s">
        <v>54</v>
      </c>
      <c r="BP2" s="447" t="s">
        <v>55</v>
      </c>
      <c r="BQ2" s="484" t="s">
        <v>56</v>
      </c>
      <c r="BR2" s="484" t="s">
        <v>57</v>
      </c>
      <c r="BS2" s="15"/>
      <c r="BT2" s="481" t="s">
        <v>58</v>
      </c>
      <c r="BU2" s="481" t="s">
        <v>59</v>
      </c>
      <c r="BV2" s="6"/>
      <c r="BW2" s="14" t="s">
        <v>60</v>
      </c>
      <c r="BX2" s="447" t="s">
        <v>61</v>
      </c>
      <c r="BY2" s="447" t="s">
        <v>62</v>
      </c>
      <c r="CA2" s="474" t="s">
        <v>63</v>
      </c>
      <c r="CB2" s="474" t="s">
        <v>64</v>
      </c>
      <c r="CD2" s="487" t="s">
        <v>124</v>
      </c>
      <c r="CE2" s="488"/>
      <c r="CF2" s="487" t="s">
        <v>128</v>
      </c>
      <c r="CG2" s="488"/>
    </row>
    <row r="3" spans="1:85" ht="26.25" thickBot="1">
      <c r="A3" s="16"/>
      <c r="B3" s="492"/>
      <c r="C3" s="443"/>
      <c r="D3" s="495"/>
      <c r="E3" s="443"/>
      <c r="F3" s="499"/>
      <c r="G3" s="500"/>
      <c r="H3" s="477" t="s">
        <v>65</v>
      </c>
      <c r="I3" s="478"/>
      <c r="J3" s="479" t="s">
        <v>66</v>
      </c>
      <c r="K3" s="480"/>
      <c r="L3" s="477" t="s">
        <v>65</v>
      </c>
      <c r="M3" s="478"/>
      <c r="N3" s="479" t="s">
        <v>66</v>
      </c>
      <c r="O3" s="480"/>
      <c r="P3" s="504"/>
      <c r="Q3" s="505"/>
      <c r="R3" s="507"/>
      <c r="S3" s="423"/>
      <c r="T3" s="426"/>
      <c r="U3" s="434"/>
      <c r="V3" s="437"/>
      <c r="W3" s="440"/>
      <c r="X3" s="440"/>
      <c r="Y3" s="440"/>
      <c r="Z3" s="440"/>
      <c r="AA3" s="440"/>
      <c r="AB3" s="440"/>
      <c r="AC3" s="516"/>
      <c r="AD3" s="513"/>
      <c r="AE3" s="510"/>
      <c r="AF3" s="513"/>
      <c r="AG3" s="466"/>
      <c r="AH3" s="466"/>
      <c r="AI3" s="466"/>
      <c r="AJ3" s="469"/>
      <c r="AK3" s="519"/>
      <c r="AL3" s="420"/>
      <c r="AM3" s="469"/>
      <c r="AN3" s="420"/>
      <c r="AO3" s="420"/>
      <c r="AP3" s="469"/>
      <c r="AQ3" s="472"/>
      <c r="AR3" s="460"/>
      <c r="AS3" s="13"/>
      <c r="AT3" s="463"/>
      <c r="AU3" s="440"/>
      <c r="AV3" s="440"/>
      <c r="AW3" s="440"/>
      <c r="AX3" s="440"/>
      <c r="AY3" s="440"/>
      <c r="AZ3" s="440"/>
      <c r="BA3" s="4"/>
      <c r="BB3" s="440"/>
      <c r="BC3" s="440"/>
      <c r="BD3" s="440"/>
      <c r="BE3" s="440"/>
      <c r="BF3" s="440"/>
      <c r="BG3" s="440"/>
      <c r="BH3" s="457" t="s">
        <v>67</v>
      </c>
      <c r="BI3" s="457" t="s">
        <v>67</v>
      </c>
      <c r="BJ3" s="17" t="s">
        <v>68</v>
      </c>
      <c r="BK3" s="449" t="s">
        <v>69</v>
      </c>
      <c r="BL3" s="449" t="s">
        <v>69</v>
      </c>
      <c r="BM3" s="449" t="s">
        <v>70</v>
      </c>
      <c r="BN3" s="457" t="s">
        <v>71</v>
      </c>
      <c r="BO3" s="457" t="s">
        <v>72</v>
      </c>
      <c r="BP3" s="440"/>
      <c r="BQ3" s="485"/>
      <c r="BR3" s="485"/>
      <c r="BS3" s="15"/>
      <c r="BT3" s="482"/>
      <c r="BU3" s="482"/>
      <c r="BV3" s="6"/>
      <c r="BW3" s="457" t="s">
        <v>67</v>
      </c>
      <c r="BX3" s="440"/>
      <c r="BY3" s="440"/>
      <c r="CA3" s="475"/>
      <c r="CB3" s="475"/>
      <c r="CD3" s="211" t="s">
        <v>129</v>
      </c>
      <c r="CE3" s="210" t="s">
        <v>125</v>
      </c>
      <c r="CF3" s="211" t="s">
        <v>129</v>
      </c>
      <c r="CG3" s="210" t="s">
        <v>125</v>
      </c>
    </row>
    <row r="4" spans="1:85" ht="15.75" thickBot="1">
      <c r="A4" s="16"/>
      <c r="B4" s="493"/>
      <c r="C4" s="444"/>
      <c r="D4" s="496"/>
      <c r="E4" s="444"/>
      <c r="F4" s="18" t="s">
        <v>73</v>
      </c>
      <c r="G4" s="19" t="s">
        <v>74</v>
      </c>
      <c r="H4" s="218" t="s">
        <v>75</v>
      </c>
      <c r="I4" s="21" t="s">
        <v>76</v>
      </c>
      <c r="J4" s="21" t="s">
        <v>75</v>
      </c>
      <c r="K4" s="219" t="s">
        <v>76</v>
      </c>
      <c r="L4" s="23" t="s">
        <v>75</v>
      </c>
      <c r="M4" s="21" t="s">
        <v>76</v>
      </c>
      <c r="N4" s="21" t="s">
        <v>75</v>
      </c>
      <c r="O4" s="19" t="s">
        <v>76</v>
      </c>
      <c r="P4" s="21" t="s">
        <v>75</v>
      </c>
      <c r="Q4" s="19" t="s">
        <v>76</v>
      </c>
      <c r="R4" s="508"/>
      <c r="S4" s="424"/>
      <c r="T4" s="427"/>
      <c r="U4" s="435"/>
      <c r="V4" s="438"/>
      <c r="W4" s="441"/>
      <c r="X4" s="441"/>
      <c r="Y4" s="441"/>
      <c r="Z4" s="441"/>
      <c r="AA4" s="441"/>
      <c r="AB4" s="441"/>
      <c r="AC4" s="517"/>
      <c r="AD4" s="514"/>
      <c r="AE4" s="511"/>
      <c r="AF4" s="514"/>
      <c r="AG4" s="467"/>
      <c r="AH4" s="467"/>
      <c r="AI4" s="467"/>
      <c r="AJ4" s="470"/>
      <c r="AK4" s="520"/>
      <c r="AL4" s="421"/>
      <c r="AM4" s="470"/>
      <c r="AN4" s="421"/>
      <c r="AO4" s="421"/>
      <c r="AP4" s="470"/>
      <c r="AQ4" s="473"/>
      <c r="AR4" s="461"/>
      <c r="AS4" s="13"/>
      <c r="AT4" s="464"/>
      <c r="AU4" s="448"/>
      <c r="AV4" s="448"/>
      <c r="AW4" s="448"/>
      <c r="AX4" s="448"/>
      <c r="AY4" s="448"/>
      <c r="AZ4" s="448"/>
      <c r="BA4" s="4"/>
      <c r="BB4" s="448"/>
      <c r="BC4" s="448"/>
      <c r="BD4" s="448"/>
      <c r="BE4" s="448"/>
      <c r="BF4" s="448"/>
      <c r="BG4" s="448"/>
      <c r="BH4" s="458"/>
      <c r="BI4" s="458"/>
      <c r="BJ4" s="17" t="s">
        <v>77</v>
      </c>
      <c r="BK4" s="450"/>
      <c r="BL4" s="450"/>
      <c r="BM4" s="450"/>
      <c r="BN4" s="458"/>
      <c r="BO4" s="458"/>
      <c r="BP4" s="448"/>
      <c r="BQ4" s="486"/>
      <c r="BR4" s="486"/>
      <c r="BS4" s="15"/>
      <c r="BT4" s="483"/>
      <c r="BU4" s="483"/>
      <c r="BV4" s="6"/>
      <c r="BW4" s="458"/>
      <c r="BX4" s="448"/>
      <c r="BY4" s="448"/>
      <c r="CA4" s="476"/>
      <c r="CB4" s="476"/>
      <c r="CD4" s="213" t="s">
        <v>126</v>
      </c>
      <c r="CE4" s="212" t="s">
        <v>127</v>
      </c>
      <c r="CF4" s="213" t="s">
        <v>126</v>
      </c>
      <c r="CG4" s="212" t="s">
        <v>127</v>
      </c>
    </row>
    <row r="5" spans="1:85">
      <c r="A5" s="451" t="s">
        <v>82</v>
      </c>
      <c r="B5" s="24">
        <v>43129</v>
      </c>
      <c r="C5" s="25">
        <v>55.73</v>
      </c>
      <c r="D5" s="26">
        <v>0.75729999999999997</v>
      </c>
      <c r="E5" s="38">
        <v>49.59</v>
      </c>
      <c r="F5" s="27">
        <v>67</v>
      </c>
      <c r="G5" s="27">
        <v>45</v>
      </c>
      <c r="H5" s="28">
        <v>24</v>
      </c>
      <c r="I5" s="28">
        <v>0</v>
      </c>
      <c r="J5" s="28">
        <v>24</v>
      </c>
      <c r="K5" s="28">
        <v>0</v>
      </c>
      <c r="L5" s="29">
        <v>0</v>
      </c>
      <c r="M5" s="29">
        <v>0</v>
      </c>
      <c r="N5" s="29">
        <v>0</v>
      </c>
      <c r="O5" s="29">
        <v>0</v>
      </c>
      <c r="P5" s="29">
        <v>24</v>
      </c>
      <c r="Q5" s="29">
        <v>0</v>
      </c>
      <c r="R5" s="29">
        <v>3720</v>
      </c>
      <c r="S5" s="30">
        <v>3683</v>
      </c>
      <c r="T5" s="30">
        <v>3683</v>
      </c>
      <c r="U5" s="31">
        <v>3590</v>
      </c>
      <c r="V5" s="31">
        <v>3701</v>
      </c>
      <c r="W5" s="28">
        <v>45</v>
      </c>
      <c r="X5" s="28">
        <v>0</v>
      </c>
      <c r="Y5" s="28">
        <v>47</v>
      </c>
      <c r="Z5" s="28">
        <v>0</v>
      </c>
      <c r="AA5" s="28">
        <v>62</v>
      </c>
      <c r="AB5" s="27">
        <v>0</v>
      </c>
      <c r="AC5" s="32">
        <f t="shared" ref="AC5:AC39" si="0">V5-U5+AZ5</f>
        <v>111</v>
      </c>
      <c r="AD5" s="33">
        <f t="shared" ref="AD5:AD39" si="1">U5-T5</f>
        <v>-93</v>
      </c>
      <c r="AE5" s="27">
        <v>157</v>
      </c>
      <c r="AF5" s="34">
        <f t="shared" ref="AF5:AF39" si="2">IF(AE5&gt;0, V5/(AE5*24),"no data")</f>
        <v>0.98221868365180465</v>
      </c>
      <c r="AG5" s="35">
        <f t="shared" ref="AG5:AG39" si="3">IF(R5&gt;0,R5/24,"no data")</f>
        <v>155</v>
      </c>
      <c r="AH5" s="34">
        <f t="shared" ref="AH5:AH39" si="4">IF(U5&gt;0,(U5/R5),"no data")</f>
        <v>0.96505376344086025</v>
      </c>
      <c r="AI5" s="36">
        <f t="shared" ref="AI5:AI15" si="5">(1440-((W5*X5)+(Y5*Z5)+(AA5*AB5))/(W5+Y5+AA5))/1440</f>
        <v>1</v>
      </c>
      <c r="AJ5" s="37">
        <f t="shared" ref="AJ5:AJ39" si="6">IF(U5&gt;0,(1440-((X5*W5+AT5*AU5)+(Z5*Y5+AV5*AW5)+(AA5*AB5+AX5*AY5))/(W5+Y5+AA5))/1440,"no data")</f>
        <v>1</v>
      </c>
      <c r="AK5" s="215">
        <v>10.763999999999999</v>
      </c>
      <c r="AL5" s="216">
        <v>138.9</v>
      </c>
      <c r="AM5" s="38">
        <f t="shared" ref="AM5:AM39" si="7">AK5*AL5</f>
        <v>1495.1196</v>
      </c>
      <c r="AN5" s="215">
        <v>30.675000000000001</v>
      </c>
      <c r="AO5" s="217">
        <v>977</v>
      </c>
      <c r="AP5" s="39">
        <f t="shared" ref="AP5:AP39" si="8">AN5*AO5</f>
        <v>29969.475000000002</v>
      </c>
      <c r="AQ5" s="201">
        <f t="shared" ref="AQ5:AQ39" si="9">IF(U5&gt;0,((((AK5*AL5)+(AN5*AO5))/(U5*1000))*1000000),"no data")</f>
        <v>8764.5110306406696</v>
      </c>
      <c r="AR5" s="198">
        <f t="shared" ref="AR5:AR35" si="10">S5/24</f>
        <v>153.45833333333334</v>
      </c>
      <c r="AS5" s="13"/>
      <c r="AT5" s="27">
        <v>0</v>
      </c>
      <c r="AU5" s="40">
        <v>0</v>
      </c>
      <c r="AV5" s="40">
        <v>0</v>
      </c>
      <c r="AW5" s="27">
        <v>0</v>
      </c>
      <c r="AX5" s="40">
        <v>0</v>
      </c>
      <c r="AY5" s="27">
        <v>0</v>
      </c>
      <c r="AZ5" s="27">
        <v>0</v>
      </c>
      <c r="BA5" s="4"/>
      <c r="BB5" s="41">
        <v>1070</v>
      </c>
      <c r="BC5" s="41">
        <v>1133</v>
      </c>
      <c r="BD5" s="41">
        <v>1498</v>
      </c>
      <c r="BE5" s="41">
        <f t="shared" ref="BE5:BE39" si="11">BC5-BB5</f>
        <v>63</v>
      </c>
      <c r="BF5" s="41">
        <f t="shared" ref="BF5:BF41" si="12">AQ5</f>
        <v>8764.5110306406696</v>
      </c>
      <c r="BG5" s="42">
        <f t="shared" ref="BG5:BG39" si="13">BD5/24</f>
        <v>62.416666666666664</v>
      </c>
      <c r="BH5" s="43">
        <v>2.2949999999999999</v>
      </c>
      <c r="BI5" s="44">
        <v>2.2949999999999999</v>
      </c>
      <c r="BJ5" s="45">
        <v>27</v>
      </c>
      <c r="BK5" s="46">
        <v>27.58</v>
      </c>
      <c r="BL5" s="45">
        <v>22.81</v>
      </c>
      <c r="BM5" s="45">
        <v>30.9</v>
      </c>
      <c r="BN5" s="47">
        <v>997.6</v>
      </c>
      <c r="BO5" s="45">
        <v>50.11</v>
      </c>
      <c r="BP5" s="48">
        <v>0.93530000000000002</v>
      </c>
      <c r="BQ5" s="46">
        <v>89.16</v>
      </c>
      <c r="BR5" s="45">
        <v>83.95</v>
      </c>
      <c r="BS5" s="49">
        <f t="shared" ref="BS5:BS39" si="14">BR5-BQ5</f>
        <v>-5.2099999999999937</v>
      </c>
      <c r="BT5" s="41">
        <v>12130</v>
      </c>
      <c r="BU5" s="41">
        <v>11720</v>
      </c>
      <c r="BV5" s="206">
        <f t="shared" ref="BV5:BV39" si="15">BU5-BT5</f>
        <v>-410</v>
      </c>
      <c r="BW5" s="207">
        <f t="shared" ref="BW5:BW39" si="16">BH5+BI5</f>
        <v>4.59</v>
      </c>
      <c r="BX5" s="42">
        <v>24</v>
      </c>
      <c r="BY5" s="42">
        <v>24</v>
      </c>
      <c r="CA5" s="42">
        <v>13.98</v>
      </c>
      <c r="CB5" s="42">
        <v>7.28</v>
      </c>
      <c r="CD5" s="42">
        <v>2.2000000000000002</v>
      </c>
      <c r="CE5" s="42">
        <v>3.3</v>
      </c>
      <c r="CF5" s="42">
        <v>1.8</v>
      </c>
      <c r="CG5" s="42">
        <v>1.9</v>
      </c>
    </row>
    <row r="6" spans="1:85">
      <c r="A6" s="452"/>
      <c r="B6" s="24">
        <v>43130</v>
      </c>
      <c r="C6" s="25">
        <v>61.6</v>
      </c>
      <c r="D6" s="26">
        <v>0.61299999999999999</v>
      </c>
      <c r="E6" s="38">
        <v>51.6</v>
      </c>
      <c r="F6" s="27">
        <v>73</v>
      </c>
      <c r="G6" s="27">
        <v>52</v>
      </c>
      <c r="H6" s="28">
        <v>24</v>
      </c>
      <c r="I6" s="28">
        <v>0</v>
      </c>
      <c r="J6" s="28">
        <v>24</v>
      </c>
      <c r="K6" s="28">
        <v>0</v>
      </c>
      <c r="L6" s="29">
        <v>0</v>
      </c>
      <c r="M6" s="29">
        <v>0</v>
      </c>
      <c r="N6" s="29">
        <v>0</v>
      </c>
      <c r="O6" s="29">
        <v>0</v>
      </c>
      <c r="P6" s="29">
        <v>13</v>
      </c>
      <c r="Q6" s="29">
        <v>0</v>
      </c>
      <c r="R6" s="29">
        <v>3711</v>
      </c>
      <c r="S6" s="30">
        <v>3496</v>
      </c>
      <c r="T6" s="30">
        <v>3496</v>
      </c>
      <c r="U6" s="31">
        <v>3411</v>
      </c>
      <c r="V6" s="31">
        <v>3514</v>
      </c>
      <c r="W6" s="28">
        <v>45</v>
      </c>
      <c r="X6" s="28">
        <v>0</v>
      </c>
      <c r="Y6" s="28">
        <v>46</v>
      </c>
      <c r="Z6" s="28">
        <v>0</v>
      </c>
      <c r="AA6" s="28">
        <v>62</v>
      </c>
      <c r="AB6" s="27">
        <v>0</v>
      </c>
      <c r="AC6" s="32">
        <f t="shared" si="0"/>
        <v>103</v>
      </c>
      <c r="AD6" s="33">
        <f t="shared" si="1"/>
        <v>-85</v>
      </c>
      <c r="AE6" s="27">
        <v>155</v>
      </c>
      <c r="AF6" s="34">
        <f t="shared" si="2"/>
        <v>0.94462365591397845</v>
      </c>
      <c r="AG6" s="35">
        <f t="shared" si="3"/>
        <v>154.625</v>
      </c>
      <c r="AH6" s="34">
        <f t="shared" si="4"/>
        <v>0.9191592562651576</v>
      </c>
      <c r="AI6" s="36">
        <f t="shared" si="5"/>
        <v>1</v>
      </c>
      <c r="AJ6" s="37">
        <f t="shared" si="6"/>
        <v>0.95506535947712412</v>
      </c>
      <c r="AK6" s="215">
        <v>10.68</v>
      </c>
      <c r="AL6" s="230">
        <v>133.91999999999999</v>
      </c>
      <c r="AM6" s="38">
        <f t="shared" si="7"/>
        <v>1430.2655999999997</v>
      </c>
      <c r="AN6" s="215">
        <v>28.789000000000001</v>
      </c>
      <c r="AO6" s="217">
        <v>980</v>
      </c>
      <c r="AP6" s="39">
        <f t="shared" si="8"/>
        <v>28213.22</v>
      </c>
      <c r="AQ6" s="201">
        <f t="shared" si="9"/>
        <v>8690.5557314570506</v>
      </c>
      <c r="AR6" s="198">
        <f t="shared" si="10"/>
        <v>145.66666666666666</v>
      </c>
      <c r="AS6" s="13"/>
      <c r="AT6" s="27">
        <v>0</v>
      </c>
      <c r="AU6" s="40">
        <v>0</v>
      </c>
      <c r="AV6" s="40">
        <v>0</v>
      </c>
      <c r="AW6" s="27">
        <v>0</v>
      </c>
      <c r="AX6" s="40">
        <v>15</v>
      </c>
      <c r="AY6" s="27">
        <v>660</v>
      </c>
      <c r="AZ6" s="27">
        <v>0</v>
      </c>
      <c r="BA6" s="4"/>
      <c r="BB6" s="41">
        <v>1085</v>
      </c>
      <c r="BC6" s="41">
        <v>1110</v>
      </c>
      <c r="BD6" s="41">
        <v>1319</v>
      </c>
      <c r="BE6" s="41">
        <f t="shared" si="11"/>
        <v>25</v>
      </c>
      <c r="BF6" s="41">
        <f t="shared" si="12"/>
        <v>8690.5557314570506</v>
      </c>
      <c r="BG6" s="42">
        <f t="shared" si="13"/>
        <v>54.958333333333336</v>
      </c>
      <c r="BH6" s="43">
        <v>1.389</v>
      </c>
      <c r="BI6" s="44">
        <v>1.3560000000000001</v>
      </c>
      <c r="BJ6" s="45">
        <v>27</v>
      </c>
      <c r="BK6" s="45">
        <v>27.89</v>
      </c>
      <c r="BL6" s="46">
        <v>22.43</v>
      </c>
      <c r="BM6" s="45">
        <v>30.55</v>
      </c>
      <c r="BN6" s="47">
        <v>998.6</v>
      </c>
      <c r="BO6" s="45">
        <v>50.09</v>
      </c>
      <c r="BP6" s="48">
        <v>0.93769999999999998</v>
      </c>
      <c r="BQ6" s="52">
        <v>92.22</v>
      </c>
      <c r="BR6" s="45">
        <v>83.85</v>
      </c>
      <c r="BS6" s="49">
        <f t="shared" si="14"/>
        <v>-8.3700000000000045</v>
      </c>
      <c r="BT6" s="41">
        <v>12089</v>
      </c>
      <c r="BU6" s="41">
        <v>11784</v>
      </c>
      <c r="BV6" s="206">
        <f t="shared" si="15"/>
        <v>-305</v>
      </c>
      <c r="BW6" s="207">
        <f t="shared" si="16"/>
        <v>2.7450000000000001</v>
      </c>
      <c r="BX6" s="42">
        <v>24</v>
      </c>
      <c r="BY6" s="42">
        <v>24</v>
      </c>
      <c r="CA6" s="42">
        <v>20.7</v>
      </c>
      <c r="CB6" s="42">
        <v>7.3</v>
      </c>
      <c r="CD6" s="42">
        <v>2.2000000000000002</v>
      </c>
      <c r="CE6" s="42">
        <v>4</v>
      </c>
      <c r="CF6" s="42">
        <v>1.8</v>
      </c>
      <c r="CG6" s="42">
        <v>2.2999999999999998</v>
      </c>
    </row>
    <row r="7" spans="1:85">
      <c r="A7" s="452"/>
      <c r="B7" s="24">
        <v>43131</v>
      </c>
      <c r="C7" s="25">
        <v>63</v>
      </c>
      <c r="D7" s="26">
        <v>0.57999999999999996</v>
      </c>
      <c r="E7" s="38">
        <v>51</v>
      </c>
      <c r="F7" s="27">
        <v>75</v>
      </c>
      <c r="G7" s="27">
        <v>52</v>
      </c>
      <c r="H7" s="28">
        <v>24</v>
      </c>
      <c r="I7" s="28">
        <v>0</v>
      </c>
      <c r="J7" s="28">
        <v>24</v>
      </c>
      <c r="K7" s="28">
        <v>0</v>
      </c>
      <c r="L7" s="29">
        <v>0</v>
      </c>
      <c r="M7" s="29">
        <v>0</v>
      </c>
      <c r="N7" s="29">
        <v>0</v>
      </c>
      <c r="O7" s="29">
        <v>0</v>
      </c>
      <c r="P7" s="29">
        <v>0</v>
      </c>
      <c r="Q7" s="29">
        <v>0</v>
      </c>
      <c r="R7" s="29">
        <v>3704</v>
      </c>
      <c r="S7" s="30">
        <v>3236</v>
      </c>
      <c r="T7" s="30">
        <v>3236</v>
      </c>
      <c r="U7" s="31">
        <v>3164</v>
      </c>
      <c r="V7" s="31">
        <v>3259</v>
      </c>
      <c r="W7" s="28">
        <v>44</v>
      </c>
      <c r="X7" s="28">
        <v>0</v>
      </c>
      <c r="Y7" s="28">
        <v>47</v>
      </c>
      <c r="Z7" s="28">
        <v>0</v>
      </c>
      <c r="AA7" s="28">
        <v>62</v>
      </c>
      <c r="AB7" s="27">
        <v>0</v>
      </c>
      <c r="AC7" s="32">
        <f t="shared" si="0"/>
        <v>95</v>
      </c>
      <c r="AD7" s="33">
        <f t="shared" si="1"/>
        <v>-72</v>
      </c>
      <c r="AE7" s="27">
        <v>153</v>
      </c>
      <c r="AF7" s="34">
        <f t="shared" si="2"/>
        <v>0.88752723311546844</v>
      </c>
      <c r="AG7" s="35">
        <f t="shared" si="3"/>
        <v>154.33333333333334</v>
      </c>
      <c r="AH7" s="34">
        <f t="shared" si="4"/>
        <v>0.85421166306695462</v>
      </c>
      <c r="AI7" s="36">
        <f t="shared" si="5"/>
        <v>1</v>
      </c>
      <c r="AJ7" s="37">
        <f t="shared" si="6"/>
        <v>0.88888888888888884</v>
      </c>
      <c r="AK7" s="215">
        <v>10.050000000000001</v>
      </c>
      <c r="AL7" s="230">
        <v>134.24</v>
      </c>
      <c r="AM7" s="38">
        <f t="shared" si="7"/>
        <v>1349.1120000000001</v>
      </c>
      <c r="AN7" s="215">
        <v>26.34</v>
      </c>
      <c r="AO7" s="217">
        <v>980</v>
      </c>
      <c r="AP7" s="39">
        <f t="shared" si="8"/>
        <v>25813.200000000001</v>
      </c>
      <c r="AQ7" s="201">
        <f t="shared" si="9"/>
        <v>8584.8015170670042</v>
      </c>
      <c r="AR7" s="198">
        <f t="shared" si="10"/>
        <v>134.83333333333334</v>
      </c>
      <c r="AS7" s="13"/>
      <c r="AT7" s="27">
        <v>0</v>
      </c>
      <c r="AU7" s="40">
        <v>0</v>
      </c>
      <c r="AV7" s="40">
        <v>0</v>
      </c>
      <c r="AW7" s="27">
        <v>0</v>
      </c>
      <c r="AX7" s="40">
        <v>17</v>
      </c>
      <c r="AY7" s="27">
        <v>1440</v>
      </c>
      <c r="AZ7" s="27">
        <v>0</v>
      </c>
      <c r="BA7" s="4"/>
      <c r="BB7" s="41">
        <v>1059</v>
      </c>
      <c r="BC7" s="41">
        <v>1116</v>
      </c>
      <c r="BD7" s="41">
        <v>1084</v>
      </c>
      <c r="BE7" s="41">
        <f t="shared" si="11"/>
        <v>57</v>
      </c>
      <c r="BF7" s="41">
        <f t="shared" si="12"/>
        <v>8584.8015170670042</v>
      </c>
      <c r="BG7" s="42">
        <f t="shared" si="13"/>
        <v>45.166666666666664</v>
      </c>
      <c r="BH7" s="43">
        <v>9.5000000000000001E-2</v>
      </c>
      <c r="BI7" s="44">
        <v>9.5000000000000001E-2</v>
      </c>
      <c r="BJ7" s="45">
        <v>27.5</v>
      </c>
      <c r="BK7" s="46">
        <v>27.38</v>
      </c>
      <c r="BL7" s="45">
        <v>22.45</v>
      </c>
      <c r="BM7" s="45">
        <v>30.37</v>
      </c>
      <c r="BN7" s="47">
        <v>996.4</v>
      </c>
      <c r="BO7" s="45">
        <v>50.07</v>
      </c>
      <c r="BP7" s="48">
        <v>0.9375</v>
      </c>
      <c r="BQ7" s="46">
        <v>90.33</v>
      </c>
      <c r="BR7" s="45">
        <v>84.05</v>
      </c>
      <c r="BS7" s="49">
        <f t="shared" si="14"/>
        <v>-6.2800000000000011</v>
      </c>
      <c r="BT7" s="41">
        <v>12144</v>
      </c>
      <c r="BU7" s="41">
        <v>11723</v>
      </c>
      <c r="BV7" s="51">
        <f t="shared" si="15"/>
        <v>-421</v>
      </c>
      <c r="BW7" s="41">
        <f t="shared" si="16"/>
        <v>0.19</v>
      </c>
      <c r="BX7" s="42">
        <v>1</v>
      </c>
      <c r="BY7" s="42">
        <v>1</v>
      </c>
      <c r="CA7" s="42">
        <v>15.6</v>
      </c>
      <c r="CB7" s="42">
        <v>2.5</v>
      </c>
      <c r="CD7" s="42">
        <v>2.1</v>
      </c>
      <c r="CE7" s="42">
        <v>3.5</v>
      </c>
      <c r="CF7" s="42">
        <v>1.8</v>
      </c>
      <c r="CG7" s="42">
        <v>2.2000000000000002</v>
      </c>
    </row>
    <row r="8" spans="1:85">
      <c r="A8" s="452"/>
      <c r="B8" s="24">
        <v>43132</v>
      </c>
      <c r="C8" s="25">
        <v>64</v>
      </c>
      <c r="D8" s="26">
        <v>0.51500000000000001</v>
      </c>
      <c r="E8" s="38">
        <v>50</v>
      </c>
      <c r="F8" s="27">
        <v>75</v>
      </c>
      <c r="G8" s="27">
        <v>54</v>
      </c>
      <c r="H8" s="28">
        <v>24</v>
      </c>
      <c r="I8" s="28">
        <v>0</v>
      </c>
      <c r="J8" s="28">
        <v>24</v>
      </c>
      <c r="K8" s="28">
        <v>0</v>
      </c>
      <c r="L8" s="29">
        <v>0</v>
      </c>
      <c r="M8" s="29">
        <v>0</v>
      </c>
      <c r="N8" s="29">
        <v>0</v>
      </c>
      <c r="O8" s="29">
        <v>0</v>
      </c>
      <c r="P8" s="29">
        <v>13</v>
      </c>
      <c r="Q8" s="29">
        <v>0</v>
      </c>
      <c r="R8" s="29">
        <v>3705</v>
      </c>
      <c r="S8" s="30">
        <v>3448</v>
      </c>
      <c r="T8" s="30">
        <v>3448</v>
      </c>
      <c r="U8" s="31">
        <v>3379</v>
      </c>
      <c r="V8" s="31">
        <v>3482</v>
      </c>
      <c r="W8" s="28">
        <v>44</v>
      </c>
      <c r="X8" s="28">
        <v>0</v>
      </c>
      <c r="Y8" s="28">
        <v>46</v>
      </c>
      <c r="Z8" s="28">
        <v>0</v>
      </c>
      <c r="AA8" s="28">
        <v>62</v>
      </c>
      <c r="AB8" s="27">
        <v>0</v>
      </c>
      <c r="AC8" s="32">
        <f t="shared" si="0"/>
        <v>103</v>
      </c>
      <c r="AD8" s="33">
        <f t="shared" si="1"/>
        <v>-69</v>
      </c>
      <c r="AE8" s="27">
        <v>155</v>
      </c>
      <c r="AF8" s="34">
        <f t="shared" si="2"/>
        <v>0.9360215053763441</v>
      </c>
      <c r="AG8" s="35">
        <f t="shared" si="3"/>
        <v>154.375</v>
      </c>
      <c r="AH8" s="34">
        <f t="shared" si="4"/>
        <v>0.91201079622132253</v>
      </c>
      <c r="AI8" s="36">
        <f t="shared" si="5"/>
        <v>1</v>
      </c>
      <c r="AJ8" s="37">
        <f t="shared" si="6"/>
        <v>0.94572368421052633</v>
      </c>
      <c r="AK8" s="234">
        <v>10.725</v>
      </c>
      <c r="AL8" s="237">
        <v>135.44999999999999</v>
      </c>
      <c r="AM8" s="38">
        <f t="shared" si="7"/>
        <v>1452.7012499999998</v>
      </c>
      <c r="AN8" s="234">
        <v>28.461549999999999</v>
      </c>
      <c r="AO8" s="231">
        <v>978.72181943710029</v>
      </c>
      <c r="AP8" s="39">
        <f t="shared" si="8"/>
        <v>27855.940000000002</v>
      </c>
      <c r="AQ8" s="201">
        <f t="shared" si="9"/>
        <v>8673.7618378218413</v>
      </c>
      <c r="AR8" s="198">
        <f t="shared" si="10"/>
        <v>143.66666666666666</v>
      </c>
      <c r="AS8" s="13"/>
      <c r="AT8" s="27">
        <v>0</v>
      </c>
      <c r="AU8" s="40">
        <v>0</v>
      </c>
      <c r="AV8" s="40">
        <v>0</v>
      </c>
      <c r="AW8" s="27">
        <v>0</v>
      </c>
      <c r="AX8" s="40">
        <v>18</v>
      </c>
      <c r="AY8" s="27">
        <v>660</v>
      </c>
      <c r="AZ8" s="27">
        <v>0</v>
      </c>
      <c r="BA8" s="4"/>
      <c r="BB8" s="41">
        <v>1067</v>
      </c>
      <c r="BC8" s="41">
        <v>1115</v>
      </c>
      <c r="BD8" s="41">
        <v>1300</v>
      </c>
      <c r="BE8" s="41">
        <f t="shared" si="11"/>
        <v>48</v>
      </c>
      <c r="BF8" s="41">
        <f t="shared" si="12"/>
        <v>8673.7618378218413</v>
      </c>
      <c r="BG8" s="42">
        <f t="shared" si="13"/>
        <v>54.166666666666664</v>
      </c>
      <c r="BH8" s="43">
        <v>1.2689999999999999</v>
      </c>
      <c r="BI8" s="44">
        <v>1.2689999999999999</v>
      </c>
      <c r="BJ8" s="45">
        <v>27</v>
      </c>
      <c r="BK8" s="46">
        <v>27.6</v>
      </c>
      <c r="BL8" s="45">
        <v>22.55</v>
      </c>
      <c r="BM8" s="45">
        <v>30.55</v>
      </c>
      <c r="BN8" s="47">
        <v>996.9</v>
      </c>
      <c r="BO8" s="45">
        <v>50.07</v>
      </c>
      <c r="BP8" s="53">
        <v>0.93700000000000006</v>
      </c>
      <c r="BQ8" s="45">
        <v>90.53</v>
      </c>
      <c r="BR8" s="45">
        <v>84.1</v>
      </c>
      <c r="BS8" s="49">
        <f t="shared" si="14"/>
        <v>-6.4300000000000068</v>
      </c>
      <c r="BT8" s="50">
        <v>12169</v>
      </c>
      <c r="BU8" s="50">
        <v>11773</v>
      </c>
      <c r="BV8" s="51">
        <f t="shared" si="15"/>
        <v>-396</v>
      </c>
      <c r="BW8" s="41">
        <f t="shared" si="16"/>
        <v>2.5379999999999998</v>
      </c>
      <c r="BX8" s="42">
        <v>13</v>
      </c>
      <c r="BY8" s="42">
        <v>13</v>
      </c>
      <c r="CA8" s="42">
        <v>16.5</v>
      </c>
      <c r="CB8" s="42">
        <v>4.5999999999999996</v>
      </c>
      <c r="CD8" s="42">
        <v>2.1</v>
      </c>
      <c r="CE8" s="42">
        <v>3.6</v>
      </c>
      <c r="CF8" s="57">
        <v>1.8</v>
      </c>
      <c r="CG8" s="42">
        <v>2.2999999999999998</v>
      </c>
    </row>
    <row r="9" spans="1:85">
      <c r="A9" s="452"/>
      <c r="B9" s="24">
        <v>43133</v>
      </c>
      <c r="C9" s="25">
        <v>62.45</v>
      </c>
      <c r="D9" s="26">
        <v>0.47199999999999998</v>
      </c>
      <c r="E9" s="38">
        <v>47.96</v>
      </c>
      <c r="F9" s="27">
        <v>81</v>
      </c>
      <c r="G9" s="27">
        <v>48</v>
      </c>
      <c r="H9" s="28">
        <v>24</v>
      </c>
      <c r="I9" s="28">
        <v>0</v>
      </c>
      <c r="J9" s="28">
        <v>24</v>
      </c>
      <c r="K9" s="28">
        <v>0</v>
      </c>
      <c r="L9" s="29">
        <v>0</v>
      </c>
      <c r="M9" s="29">
        <v>0</v>
      </c>
      <c r="N9" s="29">
        <v>0</v>
      </c>
      <c r="O9" s="29">
        <v>0</v>
      </c>
      <c r="P9" s="29">
        <v>24</v>
      </c>
      <c r="Q9" s="29">
        <v>0</v>
      </c>
      <c r="R9" s="29">
        <v>3705</v>
      </c>
      <c r="S9" s="30">
        <v>3663</v>
      </c>
      <c r="T9" s="30">
        <v>3663</v>
      </c>
      <c r="U9" s="31">
        <v>3590</v>
      </c>
      <c r="V9" s="31">
        <v>3700</v>
      </c>
      <c r="W9" s="28">
        <v>44</v>
      </c>
      <c r="X9" s="28">
        <v>0</v>
      </c>
      <c r="Y9" s="28">
        <v>47</v>
      </c>
      <c r="Z9" s="28">
        <v>0</v>
      </c>
      <c r="AA9" s="28">
        <v>63</v>
      </c>
      <c r="AB9" s="27">
        <v>0</v>
      </c>
      <c r="AC9" s="32">
        <f t="shared" si="0"/>
        <v>110</v>
      </c>
      <c r="AD9" s="33">
        <f t="shared" si="1"/>
        <v>-73</v>
      </c>
      <c r="AE9" s="27">
        <v>157</v>
      </c>
      <c r="AF9" s="34">
        <f t="shared" si="2"/>
        <v>0.98195329087048833</v>
      </c>
      <c r="AG9" s="35">
        <f t="shared" si="3"/>
        <v>154.375</v>
      </c>
      <c r="AH9" s="34">
        <f t="shared" si="4"/>
        <v>0.96896086369770584</v>
      </c>
      <c r="AI9" s="36">
        <f t="shared" si="5"/>
        <v>1</v>
      </c>
      <c r="AJ9" s="37">
        <f t="shared" si="6"/>
        <v>1</v>
      </c>
      <c r="AK9" s="235">
        <v>10.77</v>
      </c>
      <c r="AL9" s="238">
        <v>136.54</v>
      </c>
      <c r="AM9" s="38">
        <f t="shared" si="7"/>
        <v>1470.5357999999999</v>
      </c>
      <c r="AN9" s="235">
        <v>30.628689999999999</v>
      </c>
      <c r="AO9" s="232">
        <v>978.01571010709245</v>
      </c>
      <c r="AP9" s="39">
        <f t="shared" si="8"/>
        <v>29955.34</v>
      </c>
      <c r="AQ9" s="201">
        <f t="shared" si="9"/>
        <v>8753.7258495821716</v>
      </c>
      <c r="AR9" s="198">
        <f t="shared" si="10"/>
        <v>152.625</v>
      </c>
      <c r="AS9" s="13"/>
      <c r="AT9" s="27">
        <v>0</v>
      </c>
      <c r="AU9" s="40">
        <v>0</v>
      </c>
      <c r="AV9" s="40">
        <v>0</v>
      </c>
      <c r="AW9" s="27">
        <v>0</v>
      </c>
      <c r="AX9" s="40">
        <v>0</v>
      </c>
      <c r="AY9" s="27">
        <v>0</v>
      </c>
      <c r="AZ9" s="27">
        <v>0</v>
      </c>
      <c r="BA9" s="4"/>
      <c r="BB9" s="41">
        <v>1056</v>
      </c>
      <c r="BC9" s="41">
        <v>1135</v>
      </c>
      <c r="BD9" s="41">
        <v>1509</v>
      </c>
      <c r="BE9" s="41">
        <f t="shared" si="11"/>
        <v>79</v>
      </c>
      <c r="BF9" s="41">
        <f t="shared" si="12"/>
        <v>8753.7258495821716</v>
      </c>
      <c r="BG9" s="42">
        <f t="shared" si="13"/>
        <v>62.875</v>
      </c>
      <c r="BH9" s="43">
        <v>2.3639999999999999</v>
      </c>
      <c r="BI9" s="44">
        <v>2.3580000000000001</v>
      </c>
      <c r="BJ9" s="45">
        <v>27</v>
      </c>
      <c r="BK9" s="46">
        <v>22.9</v>
      </c>
      <c r="BL9" s="47">
        <v>22.9</v>
      </c>
      <c r="BM9" s="47">
        <v>30.4</v>
      </c>
      <c r="BN9" s="47">
        <v>995</v>
      </c>
      <c r="BO9" s="45">
        <v>50.06</v>
      </c>
      <c r="BP9" s="48">
        <v>0.93659999999999999</v>
      </c>
      <c r="BQ9" s="42">
        <v>88.68</v>
      </c>
      <c r="BR9" s="42">
        <v>84.16</v>
      </c>
      <c r="BS9" s="49">
        <f t="shared" si="14"/>
        <v>-4.5200000000000102</v>
      </c>
      <c r="BT9" s="50">
        <v>12936</v>
      </c>
      <c r="BU9" s="50">
        <v>12602</v>
      </c>
      <c r="BV9" s="51">
        <f t="shared" si="15"/>
        <v>-334</v>
      </c>
      <c r="BW9" s="41">
        <f t="shared" si="16"/>
        <v>4.7219999999999995</v>
      </c>
      <c r="BX9" s="62">
        <v>24</v>
      </c>
      <c r="BY9" s="42">
        <v>24</v>
      </c>
      <c r="CA9" s="42">
        <v>12.4</v>
      </c>
      <c r="CB9" s="42">
        <v>6.72</v>
      </c>
      <c r="CD9" s="42">
        <v>2.1</v>
      </c>
      <c r="CE9" s="42">
        <v>3.1</v>
      </c>
      <c r="CF9" s="57">
        <v>1.8</v>
      </c>
      <c r="CG9" s="42">
        <v>2.5</v>
      </c>
    </row>
    <row r="10" spans="1:85">
      <c r="A10" s="452"/>
      <c r="B10" s="24">
        <v>43134</v>
      </c>
      <c r="C10" s="25">
        <v>61.12</v>
      </c>
      <c r="D10" s="26">
        <v>0.53700000000000003</v>
      </c>
      <c r="E10" s="38">
        <v>48.16</v>
      </c>
      <c r="F10" s="27">
        <v>74</v>
      </c>
      <c r="G10" s="27">
        <v>49</v>
      </c>
      <c r="H10" s="28">
        <v>24</v>
      </c>
      <c r="I10" s="28">
        <v>0</v>
      </c>
      <c r="J10" s="28">
        <v>24</v>
      </c>
      <c r="K10" s="28">
        <v>0</v>
      </c>
      <c r="L10" s="29">
        <v>0</v>
      </c>
      <c r="M10" s="29">
        <v>0</v>
      </c>
      <c r="N10" s="29">
        <v>0</v>
      </c>
      <c r="O10" s="29">
        <v>0</v>
      </c>
      <c r="P10" s="29">
        <v>24</v>
      </c>
      <c r="Q10" s="29">
        <v>0</v>
      </c>
      <c r="R10" s="29">
        <v>3706</v>
      </c>
      <c r="S10" s="30">
        <v>3651</v>
      </c>
      <c r="T10" s="30">
        <v>3651</v>
      </c>
      <c r="U10" s="31">
        <v>3576</v>
      </c>
      <c r="V10" s="31">
        <v>3684</v>
      </c>
      <c r="W10" s="28">
        <v>44</v>
      </c>
      <c r="X10" s="28">
        <v>0</v>
      </c>
      <c r="Y10" s="28">
        <v>47</v>
      </c>
      <c r="Z10" s="28">
        <v>0</v>
      </c>
      <c r="AA10" s="28">
        <v>63</v>
      </c>
      <c r="AB10" s="27">
        <v>0</v>
      </c>
      <c r="AC10" s="32">
        <f t="shared" si="0"/>
        <v>108</v>
      </c>
      <c r="AD10" s="33">
        <f t="shared" si="1"/>
        <v>-75</v>
      </c>
      <c r="AE10" s="27">
        <v>156</v>
      </c>
      <c r="AF10" s="34">
        <f t="shared" si="2"/>
        <v>0.98397435897435892</v>
      </c>
      <c r="AG10" s="35">
        <f t="shared" si="3"/>
        <v>154.41666666666666</v>
      </c>
      <c r="AH10" s="34">
        <f t="shared" si="4"/>
        <v>0.96492174851592016</v>
      </c>
      <c r="AI10" s="36">
        <f t="shared" si="5"/>
        <v>1</v>
      </c>
      <c r="AJ10" s="37">
        <f t="shared" si="6"/>
        <v>1</v>
      </c>
      <c r="AK10" s="235">
        <v>10.786</v>
      </c>
      <c r="AL10" s="239">
        <v>137.52000000000001</v>
      </c>
      <c r="AM10" s="38">
        <f t="shared" si="7"/>
        <v>1483.29072</v>
      </c>
      <c r="AN10" s="235">
        <v>30.562760000000001</v>
      </c>
      <c r="AO10" s="232">
        <v>977.35381228658673</v>
      </c>
      <c r="AP10" s="39">
        <f t="shared" si="8"/>
        <v>29870.63</v>
      </c>
      <c r="AQ10" s="201">
        <f t="shared" si="9"/>
        <v>8767.8749217002241</v>
      </c>
      <c r="AR10" s="198">
        <f t="shared" si="10"/>
        <v>152.125</v>
      </c>
      <c r="AS10" s="13"/>
      <c r="AT10" s="27">
        <v>0</v>
      </c>
      <c r="AU10" s="40">
        <v>0</v>
      </c>
      <c r="AV10" s="40">
        <v>0</v>
      </c>
      <c r="AW10" s="27">
        <v>0</v>
      </c>
      <c r="AX10" s="40">
        <v>0</v>
      </c>
      <c r="AY10" s="27">
        <v>0</v>
      </c>
      <c r="AZ10" s="27">
        <v>0</v>
      </c>
      <c r="BA10" s="4"/>
      <c r="BB10" s="41">
        <v>1053</v>
      </c>
      <c r="BC10" s="41">
        <v>1129</v>
      </c>
      <c r="BD10" s="41">
        <v>1502</v>
      </c>
      <c r="BE10" s="41">
        <f t="shared" si="11"/>
        <v>76</v>
      </c>
      <c r="BF10" s="41">
        <f t="shared" si="12"/>
        <v>8767.8749217002241</v>
      </c>
      <c r="BG10" s="42">
        <f t="shared" si="13"/>
        <v>62.583333333333336</v>
      </c>
      <c r="BH10" s="43">
        <v>2.335</v>
      </c>
      <c r="BI10" s="44">
        <v>2.335</v>
      </c>
      <c r="BJ10" s="45">
        <v>27</v>
      </c>
      <c r="BK10" s="46">
        <v>27.34</v>
      </c>
      <c r="BL10" s="47">
        <v>22.79</v>
      </c>
      <c r="BM10" s="47">
        <v>30.84</v>
      </c>
      <c r="BN10" s="47">
        <v>997</v>
      </c>
      <c r="BO10" s="45">
        <v>50.08</v>
      </c>
      <c r="BP10" s="48">
        <v>0.93630000000000002</v>
      </c>
      <c r="BQ10" s="54">
        <v>88.32</v>
      </c>
      <c r="BR10" s="54">
        <v>84</v>
      </c>
      <c r="BS10" s="49">
        <f t="shared" si="14"/>
        <v>-4.3199999999999932</v>
      </c>
      <c r="BT10" s="55">
        <v>12207</v>
      </c>
      <c r="BU10" s="55">
        <v>11747</v>
      </c>
      <c r="BV10" s="51">
        <f t="shared" si="15"/>
        <v>-460</v>
      </c>
      <c r="BW10" s="41">
        <f t="shared" si="16"/>
        <v>4.67</v>
      </c>
      <c r="BX10" s="42">
        <v>24</v>
      </c>
      <c r="BY10" s="42">
        <v>24</v>
      </c>
      <c r="CA10" s="42">
        <v>11.71</v>
      </c>
      <c r="CB10" s="42">
        <v>7.3</v>
      </c>
      <c r="CD10" s="42">
        <v>2.1</v>
      </c>
      <c r="CE10" s="42">
        <v>3.2</v>
      </c>
      <c r="CF10" s="57">
        <v>1.9</v>
      </c>
      <c r="CG10" s="57">
        <v>2.2000000000000002</v>
      </c>
    </row>
    <row r="11" spans="1:85">
      <c r="A11" s="453"/>
      <c r="B11" s="24">
        <v>43135</v>
      </c>
      <c r="C11" s="25">
        <v>60</v>
      </c>
      <c r="D11" s="26">
        <v>0.53</v>
      </c>
      <c r="E11" s="38">
        <v>48</v>
      </c>
      <c r="F11" s="27">
        <v>74</v>
      </c>
      <c r="G11" s="27">
        <v>49</v>
      </c>
      <c r="H11" s="28">
        <v>12</v>
      </c>
      <c r="I11" s="28">
        <v>17</v>
      </c>
      <c r="J11" s="28">
        <v>11</v>
      </c>
      <c r="K11" s="28">
        <v>29</v>
      </c>
      <c r="L11" s="29">
        <v>0</v>
      </c>
      <c r="M11" s="29">
        <v>0</v>
      </c>
      <c r="N11" s="29">
        <v>0</v>
      </c>
      <c r="O11" s="29">
        <v>0</v>
      </c>
      <c r="P11" s="29">
        <v>0</v>
      </c>
      <c r="Q11" s="29">
        <v>0</v>
      </c>
      <c r="R11" s="29">
        <v>3708</v>
      </c>
      <c r="S11" s="30">
        <v>1803</v>
      </c>
      <c r="T11" s="30">
        <v>1803</v>
      </c>
      <c r="U11" s="31">
        <v>1789</v>
      </c>
      <c r="V11" s="31">
        <v>1862</v>
      </c>
      <c r="W11" s="28">
        <v>44</v>
      </c>
      <c r="X11" s="28">
        <v>686</v>
      </c>
      <c r="Y11" s="28">
        <v>47</v>
      </c>
      <c r="Z11" s="28">
        <v>665</v>
      </c>
      <c r="AA11" s="28">
        <v>63</v>
      </c>
      <c r="AB11" s="27">
        <v>0</v>
      </c>
      <c r="AC11" s="32">
        <f t="shared" si="0"/>
        <v>73</v>
      </c>
      <c r="AD11" s="33">
        <f t="shared" si="1"/>
        <v>-14</v>
      </c>
      <c r="AE11" s="27">
        <v>95</v>
      </c>
      <c r="AF11" s="34">
        <f t="shared" si="2"/>
        <v>0.81666666666666665</v>
      </c>
      <c r="AG11" s="35">
        <f t="shared" si="3"/>
        <v>154.5</v>
      </c>
      <c r="AH11" s="34">
        <f t="shared" si="4"/>
        <v>0.48247033441208198</v>
      </c>
      <c r="AI11" s="36">
        <f t="shared" si="5"/>
        <v>0.72294823232323224</v>
      </c>
      <c r="AJ11" s="37">
        <f t="shared" si="6"/>
        <v>0.50470328282828281</v>
      </c>
      <c r="AK11" s="235">
        <v>5.5</v>
      </c>
      <c r="AL11" s="239">
        <v>142.38</v>
      </c>
      <c r="AM11" s="38">
        <f t="shared" si="7"/>
        <v>783.08999999999992</v>
      </c>
      <c r="AN11" s="235">
        <v>15.923170000000001</v>
      </c>
      <c r="AO11" s="232">
        <v>977.52394780687519</v>
      </c>
      <c r="AP11" s="39">
        <f t="shared" si="8"/>
        <v>15565.28</v>
      </c>
      <c r="AQ11" s="201">
        <f t="shared" si="9"/>
        <v>9138.2727780883179</v>
      </c>
      <c r="AR11" s="198">
        <f t="shared" si="10"/>
        <v>75.125</v>
      </c>
      <c r="AS11" s="13"/>
      <c r="AT11" s="27">
        <v>20</v>
      </c>
      <c r="AU11" s="40">
        <v>17</v>
      </c>
      <c r="AV11" s="40">
        <v>23</v>
      </c>
      <c r="AW11" s="27">
        <v>86</v>
      </c>
      <c r="AX11" s="40">
        <v>32</v>
      </c>
      <c r="AY11" s="27">
        <v>1440</v>
      </c>
      <c r="AZ11" s="27">
        <v>0</v>
      </c>
      <c r="BA11" s="4"/>
      <c r="BB11" s="41">
        <v>523</v>
      </c>
      <c r="BC11" s="41">
        <v>599</v>
      </c>
      <c r="BD11" s="41">
        <v>740</v>
      </c>
      <c r="BE11" s="41">
        <f t="shared" si="11"/>
        <v>76</v>
      </c>
      <c r="BF11" s="41">
        <f t="shared" si="12"/>
        <v>9138.2727780883179</v>
      </c>
      <c r="BG11" s="42">
        <f t="shared" si="13"/>
        <v>30.833333333333332</v>
      </c>
      <c r="BH11" s="43">
        <v>1.2669999999999999</v>
      </c>
      <c r="BI11" s="44">
        <v>1.135</v>
      </c>
      <c r="BJ11" s="45">
        <v>0</v>
      </c>
      <c r="BK11" s="46">
        <v>13.9</v>
      </c>
      <c r="BL11" s="47">
        <v>12.25</v>
      </c>
      <c r="BM11" s="47">
        <v>15.67</v>
      </c>
      <c r="BN11" s="47">
        <v>998</v>
      </c>
      <c r="BO11" s="45">
        <v>50.06</v>
      </c>
      <c r="BP11" s="48">
        <v>0.93479999999999996</v>
      </c>
      <c r="BQ11" s="54">
        <v>83.6</v>
      </c>
      <c r="BR11" s="54">
        <v>86.02</v>
      </c>
      <c r="BS11" s="49">
        <f t="shared" si="14"/>
        <v>2.4200000000000017</v>
      </c>
      <c r="BT11" s="56">
        <v>13846</v>
      </c>
      <c r="BU11" s="56">
        <v>12510</v>
      </c>
      <c r="BV11" s="51">
        <f t="shared" si="15"/>
        <v>-1336</v>
      </c>
      <c r="BW11" s="41">
        <f t="shared" si="16"/>
        <v>2.4020000000000001</v>
      </c>
      <c r="BX11" s="57">
        <v>11.87</v>
      </c>
      <c r="BY11" s="57">
        <v>12.35</v>
      </c>
      <c r="CA11" s="57">
        <v>0</v>
      </c>
      <c r="CB11" s="57">
        <v>0.4</v>
      </c>
      <c r="CD11" s="57">
        <v>2.2000000000000002</v>
      </c>
      <c r="CE11" s="57">
        <v>2.9</v>
      </c>
      <c r="CF11" s="57">
        <v>2</v>
      </c>
      <c r="CG11" s="57">
        <v>2.2999999999999998</v>
      </c>
    </row>
    <row r="12" spans="1:85">
      <c r="A12" s="454" t="s">
        <v>141</v>
      </c>
      <c r="B12" s="154">
        <v>43136</v>
      </c>
      <c r="C12" s="157">
        <v>59.6</v>
      </c>
      <c r="D12" s="158">
        <v>0.56000000000000005</v>
      </c>
      <c r="E12" s="171">
        <v>47.6</v>
      </c>
      <c r="F12" s="159">
        <v>74</v>
      </c>
      <c r="G12" s="159">
        <v>47</v>
      </c>
      <c r="H12" s="160">
        <v>21</v>
      </c>
      <c r="I12" s="160">
        <v>45</v>
      </c>
      <c r="J12" s="160">
        <v>24</v>
      </c>
      <c r="K12" s="160">
        <v>0</v>
      </c>
      <c r="L12" s="161">
        <v>0</v>
      </c>
      <c r="M12" s="161">
        <v>0</v>
      </c>
      <c r="N12" s="161">
        <v>0</v>
      </c>
      <c r="O12" s="161">
        <v>0</v>
      </c>
      <c r="P12" s="161">
        <v>21</v>
      </c>
      <c r="Q12" s="161">
        <v>42</v>
      </c>
      <c r="R12" s="162">
        <v>3706</v>
      </c>
      <c r="S12" s="163">
        <v>3516</v>
      </c>
      <c r="T12" s="163">
        <v>3516</v>
      </c>
      <c r="U12" s="164">
        <v>3460</v>
      </c>
      <c r="V12" s="164">
        <v>3563</v>
      </c>
      <c r="W12" s="159">
        <v>45</v>
      </c>
      <c r="X12" s="159">
        <v>95</v>
      </c>
      <c r="Y12" s="159">
        <v>49</v>
      </c>
      <c r="Z12" s="159">
        <v>0</v>
      </c>
      <c r="AA12" s="159">
        <v>62</v>
      </c>
      <c r="AB12" s="159">
        <v>0</v>
      </c>
      <c r="AC12" s="165">
        <f t="shared" si="0"/>
        <v>103</v>
      </c>
      <c r="AD12" s="166">
        <f t="shared" si="1"/>
        <v>-56</v>
      </c>
      <c r="AE12" s="159">
        <v>157</v>
      </c>
      <c r="AF12" s="167">
        <f t="shared" si="2"/>
        <v>0.94559447983014866</v>
      </c>
      <c r="AG12" s="168">
        <f t="shared" si="3"/>
        <v>154.41666666666666</v>
      </c>
      <c r="AH12" s="167">
        <f t="shared" si="4"/>
        <v>0.9336211548839719</v>
      </c>
      <c r="AI12" s="169">
        <f t="shared" si="5"/>
        <v>0.98096955128205121</v>
      </c>
      <c r="AJ12" s="170">
        <f t="shared" si="6"/>
        <v>0.95818643162393158</v>
      </c>
      <c r="AK12" s="235">
        <v>10.81</v>
      </c>
      <c r="AL12" s="239">
        <v>137.30000000000001</v>
      </c>
      <c r="AM12" s="171">
        <f t="shared" si="7"/>
        <v>1484.2130000000002</v>
      </c>
      <c r="AN12" s="235">
        <v>29.350180000000002</v>
      </c>
      <c r="AO12" s="232">
        <v>974.70407336513779</v>
      </c>
      <c r="AP12" s="172">
        <f t="shared" si="8"/>
        <v>28607.74</v>
      </c>
      <c r="AQ12" s="202">
        <f t="shared" si="9"/>
        <v>8697.0962427745671</v>
      </c>
      <c r="AR12" s="199">
        <f t="shared" si="10"/>
        <v>146.5</v>
      </c>
      <c r="AS12" s="13"/>
      <c r="AT12" s="173">
        <v>21</v>
      </c>
      <c r="AU12" s="159">
        <v>40</v>
      </c>
      <c r="AV12" s="174">
        <v>0</v>
      </c>
      <c r="AW12" s="174">
        <v>0</v>
      </c>
      <c r="AX12" s="159">
        <v>31</v>
      </c>
      <c r="AY12" s="174">
        <v>138</v>
      </c>
      <c r="AZ12" s="159">
        <v>0</v>
      </c>
      <c r="BA12" s="4"/>
      <c r="BB12" s="159">
        <v>1014</v>
      </c>
      <c r="BC12" s="159">
        <v>1182</v>
      </c>
      <c r="BD12" s="159">
        <v>1367</v>
      </c>
      <c r="BE12" s="175">
        <f t="shared" si="11"/>
        <v>168</v>
      </c>
      <c r="BF12" s="176">
        <f t="shared" si="12"/>
        <v>8697.0962427745671</v>
      </c>
      <c r="BG12" s="177">
        <f t="shared" si="13"/>
        <v>56.958333333333336</v>
      </c>
      <c r="BH12" s="178">
        <v>1.7729999999999999</v>
      </c>
      <c r="BI12" s="156">
        <v>1.9790000000000001</v>
      </c>
      <c r="BJ12" s="177">
        <v>28</v>
      </c>
      <c r="BK12" s="175">
        <v>25.83</v>
      </c>
      <c r="BL12" s="175">
        <v>23.61</v>
      </c>
      <c r="BM12" s="175">
        <v>30.48</v>
      </c>
      <c r="BN12" s="175">
        <v>998.96</v>
      </c>
      <c r="BO12" s="177">
        <v>50.08</v>
      </c>
      <c r="BP12" s="180">
        <v>0.93640000000000001</v>
      </c>
      <c r="BQ12" s="186">
        <v>90.4</v>
      </c>
      <c r="BR12" s="186">
        <v>85.73</v>
      </c>
      <c r="BS12" s="49">
        <f t="shared" si="14"/>
        <v>-4.6700000000000017</v>
      </c>
      <c r="BT12" s="179">
        <v>11917</v>
      </c>
      <c r="BU12" s="179">
        <v>11511</v>
      </c>
      <c r="BV12" s="51">
        <f t="shared" si="15"/>
        <v>-406</v>
      </c>
      <c r="BW12" s="175">
        <f t="shared" si="16"/>
        <v>3.7519999999999998</v>
      </c>
      <c r="BX12" s="177">
        <v>22</v>
      </c>
      <c r="BY12" s="177">
        <v>24</v>
      </c>
      <c r="CA12" s="177">
        <v>11.25</v>
      </c>
      <c r="CB12" s="177">
        <v>4.63</v>
      </c>
      <c r="CD12" s="177">
        <v>2.2000000000000002</v>
      </c>
      <c r="CE12" s="177">
        <v>3.6</v>
      </c>
      <c r="CF12" s="177">
        <v>1.8</v>
      </c>
      <c r="CG12" s="177">
        <v>2.5</v>
      </c>
    </row>
    <row r="13" spans="1:85">
      <c r="A13" s="455"/>
      <c r="B13" s="154">
        <v>43137</v>
      </c>
      <c r="C13" s="157">
        <v>60.1</v>
      </c>
      <c r="D13" s="197">
        <v>0.53600000000000003</v>
      </c>
      <c r="E13" s="171">
        <v>47.5</v>
      </c>
      <c r="F13" s="159">
        <v>73</v>
      </c>
      <c r="G13" s="159">
        <v>49</v>
      </c>
      <c r="H13" s="160">
        <v>24</v>
      </c>
      <c r="I13" s="160">
        <v>0</v>
      </c>
      <c r="J13" s="160">
        <v>24</v>
      </c>
      <c r="K13" s="160">
        <v>0</v>
      </c>
      <c r="L13" s="161">
        <v>0</v>
      </c>
      <c r="M13" s="161">
        <v>0</v>
      </c>
      <c r="N13" s="161">
        <v>0</v>
      </c>
      <c r="O13" s="161">
        <v>0</v>
      </c>
      <c r="P13" s="161">
        <v>24</v>
      </c>
      <c r="Q13" s="161">
        <v>0</v>
      </c>
      <c r="R13" s="162">
        <v>3709</v>
      </c>
      <c r="S13" s="163">
        <v>3663</v>
      </c>
      <c r="T13" s="163">
        <v>3663</v>
      </c>
      <c r="U13" s="164">
        <v>3608</v>
      </c>
      <c r="V13" s="164">
        <v>3713</v>
      </c>
      <c r="W13" s="159">
        <v>45</v>
      </c>
      <c r="X13" s="159">
        <v>0</v>
      </c>
      <c r="Y13" s="159">
        <v>49</v>
      </c>
      <c r="Z13" s="159">
        <v>0</v>
      </c>
      <c r="AA13" s="159">
        <v>60</v>
      </c>
      <c r="AB13" s="159">
        <v>0</v>
      </c>
      <c r="AC13" s="165">
        <f t="shared" si="0"/>
        <v>105</v>
      </c>
      <c r="AD13" s="166">
        <f t="shared" si="1"/>
        <v>-55</v>
      </c>
      <c r="AE13" s="159">
        <v>157</v>
      </c>
      <c r="AF13" s="167">
        <f t="shared" si="2"/>
        <v>0.98540339702760082</v>
      </c>
      <c r="AG13" s="168">
        <f t="shared" si="3"/>
        <v>154.54166666666666</v>
      </c>
      <c r="AH13" s="167">
        <f t="shared" si="4"/>
        <v>0.97276894041520623</v>
      </c>
      <c r="AI13" s="169">
        <f t="shared" si="5"/>
        <v>1</v>
      </c>
      <c r="AJ13" s="170">
        <f t="shared" si="6"/>
        <v>1</v>
      </c>
      <c r="AK13" s="235">
        <v>10.79</v>
      </c>
      <c r="AL13" s="239">
        <v>134.96</v>
      </c>
      <c r="AM13" s="171">
        <f t="shared" si="7"/>
        <v>1456.2184</v>
      </c>
      <c r="AN13" s="235">
        <v>30.530270000000002</v>
      </c>
      <c r="AO13" s="232">
        <v>974.26128232734254</v>
      </c>
      <c r="AP13" s="172">
        <f t="shared" si="8"/>
        <v>29744.46</v>
      </c>
      <c r="AQ13" s="202">
        <f t="shared" si="9"/>
        <v>8647.6381374722841</v>
      </c>
      <c r="AR13" s="199">
        <f t="shared" si="10"/>
        <v>152.625</v>
      </c>
      <c r="AS13" s="13"/>
      <c r="AT13" s="173">
        <v>0</v>
      </c>
      <c r="AU13" s="159">
        <v>0</v>
      </c>
      <c r="AV13" s="174">
        <v>0</v>
      </c>
      <c r="AW13" s="174">
        <v>0</v>
      </c>
      <c r="AX13" s="159">
        <v>0</v>
      </c>
      <c r="AY13" s="174">
        <v>0</v>
      </c>
      <c r="AZ13" s="159">
        <v>0</v>
      </c>
      <c r="BA13" s="4"/>
      <c r="BB13" s="159">
        <v>1093</v>
      </c>
      <c r="BC13" s="159">
        <v>1171</v>
      </c>
      <c r="BD13" s="159">
        <v>1449</v>
      </c>
      <c r="BE13" s="175">
        <f t="shared" si="11"/>
        <v>78</v>
      </c>
      <c r="BF13" s="176">
        <f t="shared" si="12"/>
        <v>8647.6381374722841</v>
      </c>
      <c r="BG13" s="177">
        <f t="shared" si="13"/>
        <v>60.375</v>
      </c>
      <c r="BH13" s="178">
        <v>1.9870000000000001</v>
      </c>
      <c r="BI13" s="156">
        <v>1.9870000000000001</v>
      </c>
      <c r="BJ13" s="177">
        <v>28</v>
      </c>
      <c r="BK13" s="175">
        <v>27.9</v>
      </c>
      <c r="BL13" s="175">
        <v>23.46</v>
      </c>
      <c r="BM13" s="175">
        <v>30.26</v>
      </c>
      <c r="BN13" s="179">
        <v>1000.21</v>
      </c>
      <c r="BO13" s="179">
        <v>50.07</v>
      </c>
      <c r="BP13" s="180">
        <v>0.93720000000000003</v>
      </c>
      <c r="BQ13" s="177">
        <v>89.82</v>
      </c>
      <c r="BR13" s="177">
        <v>85.53</v>
      </c>
      <c r="BS13" s="49">
        <f t="shared" si="14"/>
        <v>-4.289999999999992</v>
      </c>
      <c r="BT13" s="175">
        <v>11994</v>
      </c>
      <c r="BU13" s="175">
        <v>11553</v>
      </c>
      <c r="BV13" s="51">
        <f t="shared" si="15"/>
        <v>-441</v>
      </c>
      <c r="BW13" s="175">
        <f t="shared" si="16"/>
        <v>3.9740000000000002</v>
      </c>
      <c r="BX13" s="177">
        <v>24</v>
      </c>
      <c r="BY13" s="177">
        <v>24</v>
      </c>
      <c r="CA13" s="177">
        <v>11.33</v>
      </c>
      <c r="CB13" s="177">
        <v>5.6</v>
      </c>
      <c r="CD13" s="177">
        <v>2.1</v>
      </c>
      <c r="CE13" s="177">
        <v>3.6</v>
      </c>
      <c r="CF13" s="177">
        <v>1.7</v>
      </c>
      <c r="CG13" s="177">
        <v>2.2999999999999998</v>
      </c>
    </row>
    <row r="14" spans="1:85">
      <c r="A14" s="455"/>
      <c r="B14" s="154">
        <v>43138</v>
      </c>
      <c r="C14" s="157">
        <v>60.6</v>
      </c>
      <c r="D14" s="197">
        <v>0.58699999999999997</v>
      </c>
      <c r="E14" s="171">
        <v>49.2</v>
      </c>
      <c r="F14" s="159">
        <v>73</v>
      </c>
      <c r="G14" s="159">
        <v>48</v>
      </c>
      <c r="H14" s="160">
        <v>24</v>
      </c>
      <c r="I14" s="160">
        <v>0</v>
      </c>
      <c r="J14" s="160">
        <v>24</v>
      </c>
      <c r="K14" s="160">
        <v>0</v>
      </c>
      <c r="L14" s="161">
        <v>0</v>
      </c>
      <c r="M14" s="161">
        <v>0</v>
      </c>
      <c r="N14" s="161">
        <v>0</v>
      </c>
      <c r="O14" s="161">
        <v>0</v>
      </c>
      <c r="P14" s="161">
        <v>20</v>
      </c>
      <c r="Q14" s="161">
        <v>36</v>
      </c>
      <c r="R14" s="162">
        <v>3709</v>
      </c>
      <c r="S14" s="163">
        <v>3674</v>
      </c>
      <c r="T14" s="163">
        <v>3603</v>
      </c>
      <c r="U14" s="164">
        <v>3548</v>
      </c>
      <c r="V14" s="164">
        <v>3650</v>
      </c>
      <c r="W14" s="159">
        <v>45</v>
      </c>
      <c r="X14" s="159">
        <v>0</v>
      </c>
      <c r="Y14" s="159">
        <v>48</v>
      </c>
      <c r="Z14" s="159">
        <v>0</v>
      </c>
      <c r="AA14" s="159">
        <v>58</v>
      </c>
      <c r="AB14" s="159">
        <v>0</v>
      </c>
      <c r="AC14" s="165">
        <f t="shared" si="0"/>
        <v>102</v>
      </c>
      <c r="AD14" s="166">
        <f t="shared" si="1"/>
        <v>-55</v>
      </c>
      <c r="AE14" s="159">
        <v>157</v>
      </c>
      <c r="AF14" s="167">
        <f t="shared" si="2"/>
        <v>0.96868365180467086</v>
      </c>
      <c r="AG14" s="168">
        <f t="shared" si="3"/>
        <v>154.54166666666666</v>
      </c>
      <c r="AH14" s="167">
        <f t="shared" si="4"/>
        <v>0.95659207333513074</v>
      </c>
      <c r="AI14" s="169">
        <f t="shared" si="5"/>
        <v>1</v>
      </c>
      <c r="AJ14" s="170">
        <f t="shared" si="6"/>
        <v>0.98967991169977931</v>
      </c>
      <c r="AK14" s="235">
        <v>10.755000000000001</v>
      </c>
      <c r="AL14" s="239">
        <v>135.47999999999999</v>
      </c>
      <c r="AM14" s="171">
        <f t="shared" si="7"/>
        <v>1457.0873999999999</v>
      </c>
      <c r="AN14" s="235">
        <v>29.8567</v>
      </c>
      <c r="AO14" s="232">
        <v>975.18680899094682</v>
      </c>
      <c r="AP14" s="172">
        <f t="shared" si="8"/>
        <v>29115.86</v>
      </c>
      <c r="AQ14" s="202">
        <f t="shared" si="9"/>
        <v>8616.9524802705764</v>
      </c>
      <c r="AR14" s="199">
        <f t="shared" si="10"/>
        <v>153.08333333333334</v>
      </c>
      <c r="AS14" s="13"/>
      <c r="AT14" s="182">
        <v>0</v>
      </c>
      <c r="AU14" s="159">
        <v>0</v>
      </c>
      <c r="AV14" s="174">
        <v>0</v>
      </c>
      <c r="AW14" s="174">
        <v>0</v>
      </c>
      <c r="AX14" s="159">
        <v>11</v>
      </c>
      <c r="AY14" s="174">
        <v>204</v>
      </c>
      <c r="AZ14" s="159">
        <v>0</v>
      </c>
      <c r="BA14" s="4"/>
      <c r="BB14" s="159">
        <v>1092</v>
      </c>
      <c r="BC14" s="159">
        <v>1164</v>
      </c>
      <c r="BD14" s="159">
        <v>1394</v>
      </c>
      <c r="BE14" s="175">
        <f t="shared" si="11"/>
        <v>72</v>
      </c>
      <c r="BF14" s="176">
        <f t="shared" si="12"/>
        <v>8616.9524802705764</v>
      </c>
      <c r="BG14" s="177">
        <f t="shared" si="13"/>
        <v>58.083333333333336</v>
      </c>
      <c r="BH14" s="178">
        <v>1.7709999999999999</v>
      </c>
      <c r="BI14" s="156">
        <v>1.764</v>
      </c>
      <c r="BJ14" s="177">
        <v>28</v>
      </c>
      <c r="BK14" s="175">
        <v>27.79</v>
      </c>
      <c r="BL14" s="175">
        <v>23.24</v>
      </c>
      <c r="BM14" s="175">
        <v>30.51</v>
      </c>
      <c r="BN14" s="179">
        <v>996.25</v>
      </c>
      <c r="BO14" s="179">
        <v>50.07</v>
      </c>
      <c r="BP14" s="180">
        <v>0.93669999999999998</v>
      </c>
      <c r="BQ14" s="177">
        <v>90.83</v>
      </c>
      <c r="BR14" s="177">
        <v>85.41</v>
      </c>
      <c r="BS14" s="49">
        <f t="shared" si="14"/>
        <v>-5.4200000000000017</v>
      </c>
      <c r="BT14" s="175">
        <v>11965</v>
      </c>
      <c r="BU14" s="175">
        <v>11548</v>
      </c>
      <c r="BV14" s="51">
        <f t="shared" si="15"/>
        <v>-417</v>
      </c>
      <c r="BW14" s="175">
        <f t="shared" si="16"/>
        <v>3.5350000000000001</v>
      </c>
      <c r="BX14" s="177">
        <v>24</v>
      </c>
      <c r="BY14" s="177">
        <v>24</v>
      </c>
      <c r="CA14" s="177">
        <v>13.2</v>
      </c>
      <c r="CB14" s="177">
        <v>7.02</v>
      </c>
      <c r="CD14" s="177">
        <v>2.1</v>
      </c>
      <c r="CE14" s="177">
        <v>3.7</v>
      </c>
      <c r="CF14" s="177">
        <v>1.8</v>
      </c>
      <c r="CG14" s="177">
        <v>1.5</v>
      </c>
    </row>
    <row r="15" spans="1:85">
      <c r="A15" s="455"/>
      <c r="B15" s="154">
        <v>43139</v>
      </c>
      <c r="C15" s="157">
        <v>60.32</v>
      </c>
      <c r="D15" s="197">
        <v>0.58409999999999995</v>
      </c>
      <c r="E15" s="171">
        <v>48.99</v>
      </c>
      <c r="F15" s="183">
        <v>72</v>
      </c>
      <c r="G15" s="183">
        <v>48</v>
      </c>
      <c r="H15" s="160">
        <v>24</v>
      </c>
      <c r="I15" s="160">
        <v>0</v>
      </c>
      <c r="J15" s="160">
        <v>24</v>
      </c>
      <c r="K15" s="160">
        <v>0</v>
      </c>
      <c r="L15" s="161">
        <v>0</v>
      </c>
      <c r="M15" s="161">
        <v>0</v>
      </c>
      <c r="N15" s="161">
        <v>0</v>
      </c>
      <c r="O15" s="161">
        <v>0</v>
      </c>
      <c r="P15" s="161">
        <v>24</v>
      </c>
      <c r="Q15" s="161">
        <v>0</v>
      </c>
      <c r="R15" s="162">
        <v>3711</v>
      </c>
      <c r="S15" s="163">
        <v>3696</v>
      </c>
      <c r="T15" s="163">
        <v>3696</v>
      </c>
      <c r="U15" s="164">
        <v>3640</v>
      </c>
      <c r="V15" s="164">
        <v>3747</v>
      </c>
      <c r="W15" s="159">
        <v>45</v>
      </c>
      <c r="X15" s="159">
        <v>0</v>
      </c>
      <c r="Y15" s="183">
        <v>48</v>
      </c>
      <c r="Z15" s="183">
        <v>0</v>
      </c>
      <c r="AA15" s="183">
        <v>63</v>
      </c>
      <c r="AB15" s="183">
        <v>0</v>
      </c>
      <c r="AC15" s="165">
        <f t="shared" si="0"/>
        <v>107</v>
      </c>
      <c r="AD15" s="166">
        <f t="shared" si="1"/>
        <v>-56</v>
      </c>
      <c r="AE15" s="159">
        <v>157</v>
      </c>
      <c r="AF15" s="167">
        <f t="shared" si="2"/>
        <v>0.99442675159235672</v>
      </c>
      <c r="AG15" s="168">
        <f t="shared" si="3"/>
        <v>154.625</v>
      </c>
      <c r="AH15" s="167">
        <f t="shared" si="4"/>
        <v>0.98086769064942059</v>
      </c>
      <c r="AI15" s="169">
        <f t="shared" si="5"/>
        <v>1</v>
      </c>
      <c r="AJ15" s="170">
        <f t="shared" si="6"/>
        <v>1</v>
      </c>
      <c r="AK15" s="236">
        <v>10.72</v>
      </c>
      <c r="AL15" s="240">
        <v>136.84</v>
      </c>
      <c r="AM15" s="171">
        <f t="shared" si="7"/>
        <v>1466.9248000000002</v>
      </c>
      <c r="AN15" s="236">
        <v>31.06399</v>
      </c>
      <c r="AO15" s="233">
        <v>975.33220941675552</v>
      </c>
      <c r="AP15" s="172">
        <f t="shared" si="8"/>
        <v>30297.71</v>
      </c>
      <c r="AQ15" s="202">
        <f t="shared" si="9"/>
        <v>8726.548021978022</v>
      </c>
      <c r="AR15" s="199">
        <f t="shared" si="10"/>
        <v>154</v>
      </c>
      <c r="AS15" s="13"/>
      <c r="AT15" s="159">
        <v>0</v>
      </c>
      <c r="AU15" s="174">
        <v>0</v>
      </c>
      <c r="AV15" s="174">
        <v>0</v>
      </c>
      <c r="AW15" s="159">
        <v>0</v>
      </c>
      <c r="AX15" s="174">
        <v>0</v>
      </c>
      <c r="AY15" s="159">
        <v>0</v>
      </c>
      <c r="AZ15" s="159">
        <v>0</v>
      </c>
      <c r="BA15" s="4"/>
      <c r="BB15" s="175">
        <v>1088</v>
      </c>
      <c r="BC15" s="175">
        <v>1156</v>
      </c>
      <c r="BD15" s="184">
        <v>1503</v>
      </c>
      <c r="BE15" s="175">
        <f t="shared" si="11"/>
        <v>68</v>
      </c>
      <c r="BF15" s="177">
        <f t="shared" si="12"/>
        <v>8726.548021978022</v>
      </c>
      <c r="BG15" s="177">
        <f t="shared" si="13"/>
        <v>62.625</v>
      </c>
      <c r="BH15" s="178">
        <v>2.3239999999999998</v>
      </c>
      <c r="BI15" s="156">
        <v>2.3239999999999998</v>
      </c>
      <c r="BJ15" s="177">
        <v>27.5</v>
      </c>
      <c r="BK15" s="175">
        <v>27.79</v>
      </c>
      <c r="BL15" s="175">
        <v>23.31</v>
      </c>
      <c r="BM15" s="175">
        <v>29.97</v>
      </c>
      <c r="BN15" s="179">
        <v>994.9</v>
      </c>
      <c r="BO15" s="179">
        <v>50.11</v>
      </c>
      <c r="BP15" s="185">
        <v>0.9365</v>
      </c>
      <c r="BQ15" s="177">
        <v>90.55</v>
      </c>
      <c r="BR15" s="177">
        <v>85.25</v>
      </c>
      <c r="BS15" s="49">
        <f t="shared" si="14"/>
        <v>-5.2999999999999972</v>
      </c>
      <c r="BT15" s="175">
        <v>12012</v>
      </c>
      <c r="BU15" s="175">
        <v>11619</v>
      </c>
      <c r="BV15" s="51">
        <f t="shared" si="15"/>
        <v>-393</v>
      </c>
      <c r="BW15" s="175">
        <f t="shared" si="16"/>
        <v>4.6479999999999997</v>
      </c>
      <c r="BX15" s="177">
        <v>24</v>
      </c>
      <c r="BY15" s="177">
        <v>24</v>
      </c>
      <c r="CA15" s="177">
        <v>12.77</v>
      </c>
      <c r="CB15" s="177">
        <v>6.82</v>
      </c>
      <c r="CD15" s="177">
        <v>2.1</v>
      </c>
      <c r="CE15" s="177">
        <v>3.8</v>
      </c>
      <c r="CF15" s="177">
        <v>1.8</v>
      </c>
      <c r="CG15" s="177">
        <v>1</v>
      </c>
    </row>
    <row r="16" spans="1:85">
      <c r="A16" s="455"/>
      <c r="B16" s="154">
        <v>43140</v>
      </c>
      <c r="C16" s="157">
        <v>60.37</v>
      </c>
      <c r="D16" s="197">
        <v>0.60340000000000005</v>
      </c>
      <c r="E16" s="171">
        <v>49.64</v>
      </c>
      <c r="F16" s="159">
        <v>72</v>
      </c>
      <c r="G16" s="159">
        <v>48</v>
      </c>
      <c r="H16" s="159">
        <v>24</v>
      </c>
      <c r="I16" s="159">
        <v>0</v>
      </c>
      <c r="J16" s="159">
        <v>24</v>
      </c>
      <c r="K16" s="159">
        <v>0</v>
      </c>
      <c r="L16" s="161">
        <v>0</v>
      </c>
      <c r="M16" s="161">
        <v>0</v>
      </c>
      <c r="N16" s="161">
        <v>0</v>
      </c>
      <c r="O16" s="161">
        <v>0</v>
      </c>
      <c r="P16" s="161">
        <v>24</v>
      </c>
      <c r="Q16" s="161">
        <v>0</v>
      </c>
      <c r="R16" s="162">
        <v>3710</v>
      </c>
      <c r="S16" s="163">
        <v>3698</v>
      </c>
      <c r="T16" s="163">
        <v>3698</v>
      </c>
      <c r="U16" s="164">
        <v>3611</v>
      </c>
      <c r="V16" s="164">
        <v>3714</v>
      </c>
      <c r="W16" s="159">
        <v>45</v>
      </c>
      <c r="X16" s="159">
        <v>0</v>
      </c>
      <c r="Y16" s="159">
        <v>48</v>
      </c>
      <c r="Z16" s="159">
        <v>0</v>
      </c>
      <c r="AA16" s="159">
        <v>61</v>
      </c>
      <c r="AB16" s="159">
        <v>0</v>
      </c>
      <c r="AC16" s="165">
        <f t="shared" si="0"/>
        <v>103</v>
      </c>
      <c r="AD16" s="166">
        <f t="shared" si="1"/>
        <v>-87</v>
      </c>
      <c r="AE16" s="159">
        <v>158</v>
      </c>
      <c r="AF16" s="167">
        <f t="shared" si="2"/>
        <v>0.97943037974683544</v>
      </c>
      <c r="AG16" s="168">
        <f t="shared" si="3"/>
        <v>154.58333333333334</v>
      </c>
      <c r="AH16" s="167">
        <f t="shared" si="4"/>
        <v>0.97331536388140161</v>
      </c>
      <c r="AI16" s="169">
        <f>IF(U16&gt;0,(1440-((W16*X16)+(Y16*Z16)+(AA16*AB16))/(W16+Y16+AA16))/1440,"no data")</f>
        <v>1</v>
      </c>
      <c r="AJ16" s="170">
        <f t="shared" si="6"/>
        <v>0.99372294372294367</v>
      </c>
      <c r="AK16" s="236">
        <v>10.744999999999999</v>
      </c>
      <c r="AL16" s="240">
        <v>138.22</v>
      </c>
      <c r="AM16" s="171">
        <f t="shared" si="7"/>
        <v>1485.1738999999998</v>
      </c>
      <c r="AN16" s="236">
        <v>30.826449</v>
      </c>
      <c r="AO16" s="233">
        <v>972.04219013354407</v>
      </c>
      <c r="AP16" s="172">
        <f t="shared" si="8"/>
        <v>29964.609</v>
      </c>
      <c r="AQ16" s="202">
        <f t="shared" si="9"/>
        <v>8709.4386319579062</v>
      </c>
      <c r="AR16" s="199">
        <f t="shared" si="10"/>
        <v>154.08333333333334</v>
      </c>
      <c r="AS16" s="13"/>
      <c r="AT16" s="159">
        <v>0</v>
      </c>
      <c r="AU16" s="159">
        <v>0</v>
      </c>
      <c r="AV16" s="159">
        <v>0</v>
      </c>
      <c r="AW16" s="159">
        <v>0</v>
      </c>
      <c r="AX16" s="159">
        <v>16</v>
      </c>
      <c r="AY16" s="159">
        <v>87</v>
      </c>
      <c r="AZ16" s="159">
        <v>0</v>
      </c>
      <c r="BA16" s="4"/>
      <c r="BB16" s="175">
        <v>1090</v>
      </c>
      <c r="BC16" s="175">
        <v>1153</v>
      </c>
      <c r="BD16" s="175">
        <v>1471</v>
      </c>
      <c r="BE16" s="175">
        <f t="shared" si="11"/>
        <v>63</v>
      </c>
      <c r="BF16" s="177">
        <f t="shared" si="12"/>
        <v>8709.4386319579062</v>
      </c>
      <c r="BG16" s="177">
        <f t="shared" si="13"/>
        <v>61.291666666666664</v>
      </c>
      <c r="BH16" s="178">
        <v>2.2320000000000002</v>
      </c>
      <c r="BI16" s="156">
        <v>2.2320000000000002</v>
      </c>
      <c r="BJ16" s="177">
        <v>27.5</v>
      </c>
      <c r="BK16" s="175">
        <v>27.92</v>
      </c>
      <c r="BL16" s="175">
        <v>23.32</v>
      </c>
      <c r="BM16" s="175">
        <v>30.35</v>
      </c>
      <c r="BN16" s="179">
        <v>994.92</v>
      </c>
      <c r="BO16" s="179">
        <v>50.12</v>
      </c>
      <c r="BP16" s="185">
        <v>0.93630000000000002</v>
      </c>
      <c r="BQ16" s="177">
        <v>91.13</v>
      </c>
      <c r="BR16" s="177">
        <v>85.14</v>
      </c>
      <c r="BS16" s="49">
        <f t="shared" si="14"/>
        <v>-5.9899999999999949</v>
      </c>
      <c r="BT16" s="175">
        <v>12045</v>
      </c>
      <c r="BU16" s="175">
        <v>11673</v>
      </c>
      <c r="BV16" s="51">
        <f t="shared" si="15"/>
        <v>-372</v>
      </c>
      <c r="BW16" s="175">
        <f t="shared" si="16"/>
        <v>4.4640000000000004</v>
      </c>
      <c r="BX16" s="177">
        <v>24</v>
      </c>
      <c r="BY16" s="177">
        <v>24</v>
      </c>
      <c r="CA16" s="177">
        <v>14</v>
      </c>
      <c r="CB16" s="177">
        <v>3.67</v>
      </c>
      <c r="CD16" s="177">
        <v>2.1</v>
      </c>
      <c r="CE16" s="177">
        <v>3.5</v>
      </c>
      <c r="CF16" s="177">
        <v>1.8</v>
      </c>
      <c r="CG16" s="177">
        <v>1.5</v>
      </c>
    </row>
    <row r="17" spans="1:85">
      <c r="A17" s="455"/>
      <c r="B17" s="154">
        <v>43141</v>
      </c>
      <c r="C17" s="157">
        <v>60.7</v>
      </c>
      <c r="D17" s="197">
        <v>0.57999999999999996</v>
      </c>
      <c r="E17" s="171">
        <v>49.49</v>
      </c>
      <c r="F17" s="159">
        <v>72</v>
      </c>
      <c r="G17" s="159">
        <v>50</v>
      </c>
      <c r="H17" s="159">
        <v>24</v>
      </c>
      <c r="I17" s="159">
        <v>0</v>
      </c>
      <c r="J17" s="159">
        <v>24</v>
      </c>
      <c r="K17" s="159">
        <v>0</v>
      </c>
      <c r="L17" s="161">
        <v>0</v>
      </c>
      <c r="M17" s="161">
        <v>0</v>
      </c>
      <c r="N17" s="161">
        <v>0</v>
      </c>
      <c r="O17" s="161">
        <v>0</v>
      </c>
      <c r="P17" s="161">
        <v>24</v>
      </c>
      <c r="Q17" s="161">
        <v>0</v>
      </c>
      <c r="R17" s="162">
        <v>3712</v>
      </c>
      <c r="S17" s="163">
        <v>3699</v>
      </c>
      <c r="T17" s="163">
        <v>3699</v>
      </c>
      <c r="U17" s="164">
        <v>3630</v>
      </c>
      <c r="V17" s="164">
        <v>3736</v>
      </c>
      <c r="W17" s="159">
        <v>45</v>
      </c>
      <c r="X17" s="159">
        <v>0</v>
      </c>
      <c r="Y17" s="159">
        <v>48</v>
      </c>
      <c r="Z17" s="159">
        <v>0</v>
      </c>
      <c r="AA17" s="159">
        <v>63</v>
      </c>
      <c r="AB17" s="159">
        <v>0</v>
      </c>
      <c r="AC17" s="165">
        <f t="shared" si="0"/>
        <v>106</v>
      </c>
      <c r="AD17" s="166">
        <f t="shared" si="1"/>
        <v>-69</v>
      </c>
      <c r="AE17" s="159">
        <v>157</v>
      </c>
      <c r="AF17" s="167">
        <f t="shared" si="2"/>
        <v>0.99150743099787686</v>
      </c>
      <c r="AG17" s="168">
        <f t="shared" si="3"/>
        <v>154.66666666666666</v>
      </c>
      <c r="AH17" s="167">
        <f t="shared" si="4"/>
        <v>0.97790948275862066</v>
      </c>
      <c r="AI17" s="169">
        <f t="shared" ref="AI17:AI39" si="17">IF(U17&gt;0,(1440-((W17*X17)+(Y17*Z17)+(AA17*AB17))/(W17+Y17+AA17))/1440,"no data")</f>
        <v>1</v>
      </c>
      <c r="AJ17" s="170">
        <f t="shared" si="6"/>
        <v>1</v>
      </c>
      <c r="AK17" s="236">
        <v>10.72</v>
      </c>
      <c r="AL17" s="240">
        <v>137.22</v>
      </c>
      <c r="AM17" s="171">
        <f t="shared" si="7"/>
        <v>1470.9984000000002</v>
      </c>
      <c r="AN17" s="236">
        <v>31.106688999999999</v>
      </c>
      <c r="AO17" s="233">
        <v>973.23151300352163</v>
      </c>
      <c r="AP17" s="172">
        <f t="shared" si="8"/>
        <v>30274.010000000002</v>
      </c>
      <c r="AQ17" s="202">
        <f t="shared" si="9"/>
        <v>8745.1813774104685</v>
      </c>
      <c r="AR17" s="199">
        <f t="shared" si="10"/>
        <v>154.125</v>
      </c>
      <c r="AS17" s="13"/>
      <c r="AT17" s="159">
        <v>0</v>
      </c>
      <c r="AU17" s="159">
        <v>0</v>
      </c>
      <c r="AV17" s="159">
        <v>0</v>
      </c>
      <c r="AW17" s="159">
        <v>0</v>
      </c>
      <c r="AX17" s="159">
        <v>0</v>
      </c>
      <c r="AY17" s="159">
        <v>0</v>
      </c>
      <c r="AZ17" s="159">
        <v>0</v>
      </c>
      <c r="BA17" s="4"/>
      <c r="BB17" s="175">
        <v>1088</v>
      </c>
      <c r="BC17" s="175">
        <v>1043</v>
      </c>
      <c r="BD17" s="175">
        <v>1505</v>
      </c>
      <c r="BE17" s="175">
        <f t="shared" si="11"/>
        <v>-45</v>
      </c>
      <c r="BF17" s="177">
        <f t="shared" si="12"/>
        <v>8745.1813774104685</v>
      </c>
      <c r="BG17" s="177">
        <f t="shared" si="13"/>
        <v>62.708333333333336</v>
      </c>
      <c r="BH17" s="178">
        <v>2.3809999999999998</v>
      </c>
      <c r="BI17" s="156">
        <v>2.3809999999999998</v>
      </c>
      <c r="BJ17" s="177">
        <v>27.5</v>
      </c>
      <c r="BK17" s="175">
        <v>27.89</v>
      </c>
      <c r="BL17" s="175">
        <v>23.25</v>
      </c>
      <c r="BM17" s="175">
        <v>29.9</v>
      </c>
      <c r="BN17" s="179">
        <v>997</v>
      </c>
      <c r="BO17" s="179">
        <v>50.08</v>
      </c>
      <c r="BP17" s="185">
        <v>0.9365</v>
      </c>
      <c r="BQ17" s="177">
        <v>90.91</v>
      </c>
      <c r="BR17" s="186">
        <v>84.97</v>
      </c>
      <c r="BS17" s="49">
        <f t="shared" si="14"/>
        <v>-5.9399999999999977</v>
      </c>
      <c r="BT17" s="175">
        <v>12059</v>
      </c>
      <c r="BU17" s="175">
        <v>11729</v>
      </c>
      <c r="BV17" s="51">
        <f t="shared" si="15"/>
        <v>-330</v>
      </c>
      <c r="BW17" s="175">
        <f t="shared" si="16"/>
        <v>4.7619999999999996</v>
      </c>
      <c r="BX17" s="177">
        <v>24</v>
      </c>
      <c r="BY17" s="177">
        <v>24</v>
      </c>
      <c r="CA17" s="177">
        <v>13.47</v>
      </c>
      <c r="CB17" s="177">
        <v>4.33</v>
      </c>
      <c r="CD17" s="177">
        <v>2.1</v>
      </c>
      <c r="CE17" s="177">
        <v>3.34</v>
      </c>
      <c r="CF17" s="177">
        <v>1.8</v>
      </c>
      <c r="CG17" s="177">
        <v>2.4</v>
      </c>
    </row>
    <row r="18" spans="1:85">
      <c r="A18" s="456"/>
      <c r="B18" s="154">
        <v>43142</v>
      </c>
      <c r="C18" s="157">
        <v>56</v>
      </c>
      <c r="D18" s="197">
        <v>0.7</v>
      </c>
      <c r="E18" s="171">
        <v>50</v>
      </c>
      <c r="F18" s="159">
        <v>59</v>
      </c>
      <c r="G18" s="159">
        <v>52</v>
      </c>
      <c r="H18" s="159">
        <v>24</v>
      </c>
      <c r="I18" s="159">
        <v>0</v>
      </c>
      <c r="J18" s="159">
        <v>24</v>
      </c>
      <c r="K18" s="159">
        <v>0</v>
      </c>
      <c r="L18" s="159">
        <v>0</v>
      </c>
      <c r="M18" s="159">
        <v>0</v>
      </c>
      <c r="N18" s="187">
        <v>0</v>
      </c>
      <c r="O18" s="187">
        <v>0</v>
      </c>
      <c r="P18" s="187">
        <v>24</v>
      </c>
      <c r="Q18" s="187">
        <v>0</v>
      </c>
      <c r="R18" s="162">
        <v>3720</v>
      </c>
      <c r="S18" s="163">
        <v>3715</v>
      </c>
      <c r="T18" s="163">
        <v>3715</v>
      </c>
      <c r="U18" s="164">
        <v>3650</v>
      </c>
      <c r="V18" s="164">
        <v>3754</v>
      </c>
      <c r="W18" s="159">
        <v>45</v>
      </c>
      <c r="X18" s="159">
        <v>0</v>
      </c>
      <c r="Y18" s="159">
        <v>48</v>
      </c>
      <c r="Z18" s="159">
        <v>0</v>
      </c>
      <c r="AA18" s="159">
        <v>63</v>
      </c>
      <c r="AB18" s="159">
        <v>0</v>
      </c>
      <c r="AC18" s="165">
        <f t="shared" si="0"/>
        <v>104</v>
      </c>
      <c r="AD18" s="166">
        <f t="shared" si="1"/>
        <v>-65</v>
      </c>
      <c r="AE18" s="159">
        <v>159</v>
      </c>
      <c r="AF18" s="167">
        <f t="shared" si="2"/>
        <v>0.9837526205450734</v>
      </c>
      <c r="AG18" s="168">
        <f t="shared" si="3"/>
        <v>155</v>
      </c>
      <c r="AH18" s="167">
        <f t="shared" si="4"/>
        <v>0.98118279569892475</v>
      </c>
      <c r="AI18" s="169">
        <f t="shared" si="17"/>
        <v>1</v>
      </c>
      <c r="AJ18" s="170">
        <f t="shared" si="6"/>
        <v>1</v>
      </c>
      <c r="AK18" s="236">
        <v>10.6</v>
      </c>
      <c r="AL18" s="240">
        <v>134.87</v>
      </c>
      <c r="AM18" s="171">
        <f t="shared" si="7"/>
        <v>1429.6220000000001</v>
      </c>
      <c r="AN18" s="236">
        <v>31.368210999999999</v>
      </c>
      <c r="AO18" s="233">
        <v>971.3266402090959</v>
      </c>
      <c r="AP18" s="172">
        <f t="shared" si="8"/>
        <v>30468.779000000002</v>
      </c>
      <c r="AQ18" s="202">
        <f t="shared" si="9"/>
        <v>8739.2879452054804</v>
      </c>
      <c r="AR18" s="199">
        <f t="shared" si="10"/>
        <v>154.79166666666666</v>
      </c>
      <c r="AS18" s="13"/>
      <c r="AT18" s="159">
        <v>0</v>
      </c>
      <c r="AU18" s="159">
        <v>0</v>
      </c>
      <c r="AV18" s="159">
        <v>0</v>
      </c>
      <c r="AW18" s="159">
        <v>0</v>
      </c>
      <c r="AX18" s="174">
        <v>0</v>
      </c>
      <c r="AY18" s="159">
        <v>0</v>
      </c>
      <c r="AZ18" s="159">
        <v>0</v>
      </c>
      <c r="BA18" s="4"/>
      <c r="BB18" s="175">
        <v>1092</v>
      </c>
      <c r="BC18" s="175">
        <v>1152</v>
      </c>
      <c r="BD18" s="175">
        <v>1510</v>
      </c>
      <c r="BE18" s="175">
        <f t="shared" si="11"/>
        <v>60</v>
      </c>
      <c r="BF18" s="177">
        <f t="shared" si="12"/>
        <v>8739.2879452054804</v>
      </c>
      <c r="BG18" s="177">
        <f t="shared" si="13"/>
        <v>62.916666666666664</v>
      </c>
      <c r="BH18" s="178">
        <v>2.347</v>
      </c>
      <c r="BI18" s="156">
        <v>2.347</v>
      </c>
      <c r="BJ18" s="177">
        <v>27.5</v>
      </c>
      <c r="BK18" s="175">
        <v>28.16</v>
      </c>
      <c r="BL18" s="175">
        <v>23.54</v>
      </c>
      <c r="BM18" s="175">
        <v>30.34</v>
      </c>
      <c r="BN18" s="179">
        <v>997.6</v>
      </c>
      <c r="BO18" s="179">
        <v>50.16</v>
      </c>
      <c r="BP18" s="180">
        <v>0.93679999999999997</v>
      </c>
      <c r="BQ18" s="186">
        <v>90.88</v>
      </c>
      <c r="BR18" s="186">
        <v>84.99</v>
      </c>
      <c r="BS18" s="49">
        <f t="shared" si="14"/>
        <v>-5.8900000000000006</v>
      </c>
      <c r="BT18" s="175">
        <v>12117</v>
      </c>
      <c r="BU18" s="175">
        <v>11771</v>
      </c>
      <c r="BV18" s="51">
        <f t="shared" si="15"/>
        <v>-346</v>
      </c>
      <c r="BW18" s="175">
        <f t="shared" si="16"/>
        <v>4.694</v>
      </c>
      <c r="BX18" s="177">
        <v>24</v>
      </c>
      <c r="BY18" s="177">
        <v>24</v>
      </c>
      <c r="BZ18">
        <v>0</v>
      </c>
      <c r="CA18" s="177">
        <v>13.2</v>
      </c>
      <c r="CB18" s="177">
        <v>3.7</v>
      </c>
      <c r="CD18" s="177">
        <v>2</v>
      </c>
      <c r="CE18" s="177">
        <v>3.5</v>
      </c>
      <c r="CF18" s="177">
        <v>1.8</v>
      </c>
      <c r="CG18" s="177">
        <v>2.4</v>
      </c>
    </row>
    <row r="19" spans="1:85">
      <c r="A19" s="451" t="s">
        <v>142</v>
      </c>
      <c r="B19" s="24">
        <v>43143</v>
      </c>
      <c r="C19" s="25">
        <v>58.8</v>
      </c>
      <c r="D19" s="26">
        <v>0.73399999999999999</v>
      </c>
      <c r="E19" s="38">
        <v>52.5</v>
      </c>
      <c r="F19" s="27">
        <v>68</v>
      </c>
      <c r="G19" s="27">
        <v>52</v>
      </c>
      <c r="H19" s="27">
        <v>20</v>
      </c>
      <c r="I19" s="27">
        <v>19</v>
      </c>
      <c r="J19" s="27">
        <v>20</v>
      </c>
      <c r="K19" s="27">
        <v>19</v>
      </c>
      <c r="L19" s="27">
        <v>0</v>
      </c>
      <c r="M19" s="27">
        <v>0</v>
      </c>
      <c r="N19" s="29">
        <v>0</v>
      </c>
      <c r="O19" s="29">
        <v>0</v>
      </c>
      <c r="P19" s="29">
        <v>16</v>
      </c>
      <c r="Q19" s="29">
        <v>49</v>
      </c>
      <c r="R19" s="58">
        <v>3720</v>
      </c>
      <c r="S19" s="30">
        <v>3714</v>
      </c>
      <c r="T19" s="30">
        <v>3415</v>
      </c>
      <c r="U19" s="59">
        <v>3368</v>
      </c>
      <c r="V19" s="31">
        <v>3466</v>
      </c>
      <c r="W19" s="27">
        <v>45</v>
      </c>
      <c r="X19" s="27">
        <v>0</v>
      </c>
      <c r="Y19" s="27">
        <v>47</v>
      </c>
      <c r="Z19" s="27">
        <v>0</v>
      </c>
      <c r="AA19" s="27">
        <v>62</v>
      </c>
      <c r="AB19" s="27">
        <v>0</v>
      </c>
      <c r="AC19" s="32">
        <f t="shared" si="0"/>
        <v>98</v>
      </c>
      <c r="AD19" s="33">
        <f t="shared" si="1"/>
        <v>-47</v>
      </c>
      <c r="AE19" s="27">
        <v>157</v>
      </c>
      <c r="AF19" s="34">
        <f t="shared" si="2"/>
        <v>0.91985138004246281</v>
      </c>
      <c r="AG19" s="35">
        <f t="shared" si="3"/>
        <v>155</v>
      </c>
      <c r="AH19" s="34">
        <f t="shared" si="4"/>
        <v>0.90537634408602152</v>
      </c>
      <c r="AI19" s="226">
        <f t="shared" si="17"/>
        <v>1</v>
      </c>
      <c r="AJ19" s="37">
        <f t="shared" si="6"/>
        <v>0.93222853535353545</v>
      </c>
      <c r="AK19" s="236">
        <v>10.3</v>
      </c>
      <c r="AL19" s="240">
        <v>133.34</v>
      </c>
      <c r="AM19" s="38">
        <f t="shared" si="7"/>
        <v>1373.402</v>
      </c>
      <c r="AN19" s="236">
        <v>29.274519999999999</v>
      </c>
      <c r="AO19" s="233">
        <v>957.75947820835324</v>
      </c>
      <c r="AP19" s="39">
        <f t="shared" si="8"/>
        <v>28037.949000000001</v>
      </c>
      <c r="AQ19" s="201">
        <f t="shared" si="9"/>
        <v>8732.5864014251783</v>
      </c>
      <c r="AR19" s="198">
        <f t="shared" si="10"/>
        <v>154.75</v>
      </c>
      <c r="AS19" s="13"/>
      <c r="AT19" s="27">
        <v>14</v>
      </c>
      <c r="AU19" s="40">
        <v>221</v>
      </c>
      <c r="AV19" s="40">
        <v>15</v>
      </c>
      <c r="AW19" s="27">
        <v>221</v>
      </c>
      <c r="AX19" s="40">
        <v>20</v>
      </c>
      <c r="AY19" s="27">
        <v>431</v>
      </c>
      <c r="AZ19" s="27">
        <v>0</v>
      </c>
      <c r="BA19" s="4"/>
      <c r="BB19" s="52">
        <v>1063</v>
      </c>
      <c r="BC19" s="52">
        <v>1086</v>
      </c>
      <c r="BD19" s="52">
        <v>1317</v>
      </c>
      <c r="BE19" s="41">
        <f t="shared" si="11"/>
        <v>23</v>
      </c>
      <c r="BF19" s="41">
        <f t="shared" si="12"/>
        <v>8732.5864014251783</v>
      </c>
      <c r="BG19" s="60">
        <f t="shared" si="13"/>
        <v>54.875</v>
      </c>
      <c r="BH19" s="61">
        <v>1.6910000000000001</v>
      </c>
      <c r="BI19" s="62">
        <v>1.6759999999999999</v>
      </c>
      <c r="BJ19" s="42">
        <v>27.5</v>
      </c>
      <c r="BK19" s="41">
        <v>27.71</v>
      </c>
      <c r="BL19" s="41">
        <v>22.47</v>
      </c>
      <c r="BM19" s="41">
        <v>29.76</v>
      </c>
      <c r="BN19" s="63">
        <v>996.5</v>
      </c>
      <c r="BO19" s="63">
        <v>50.15</v>
      </c>
      <c r="BP19" s="64">
        <v>0.93740000000000001</v>
      </c>
      <c r="BQ19" s="42">
        <v>95.91</v>
      </c>
      <c r="BR19" s="42">
        <v>85.1</v>
      </c>
      <c r="BS19" s="49">
        <f t="shared" si="14"/>
        <v>-10.810000000000002</v>
      </c>
      <c r="BT19" s="41">
        <v>12346</v>
      </c>
      <c r="BU19" s="41">
        <v>12066</v>
      </c>
      <c r="BV19" s="51">
        <f t="shared" si="15"/>
        <v>-280</v>
      </c>
      <c r="BW19" s="41">
        <f t="shared" si="16"/>
        <v>3.367</v>
      </c>
      <c r="BX19" s="42">
        <v>24</v>
      </c>
      <c r="BY19" s="42">
        <v>24</v>
      </c>
      <c r="CA19" s="42">
        <v>17.3</v>
      </c>
      <c r="CB19" s="42">
        <v>10.199999999999999</v>
      </c>
      <c r="CD19" s="42">
        <v>2.2000000000000002</v>
      </c>
      <c r="CE19" s="42">
        <v>3.5</v>
      </c>
      <c r="CF19" s="42">
        <v>1.8</v>
      </c>
      <c r="CG19" s="42">
        <v>2.2999999999999998</v>
      </c>
    </row>
    <row r="20" spans="1:85">
      <c r="A20" s="452"/>
      <c r="B20" s="24">
        <v>43144</v>
      </c>
      <c r="C20" s="25">
        <v>58</v>
      </c>
      <c r="D20" s="26">
        <v>0.76</v>
      </c>
      <c r="E20" s="38">
        <v>52</v>
      </c>
      <c r="F20" s="27">
        <v>68</v>
      </c>
      <c r="G20" s="27">
        <v>50</v>
      </c>
      <c r="H20" s="27">
        <v>19</v>
      </c>
      <c r="I20" s="27">
        <v>53</v>
      </c>
      <c r="J20" s="27">
        <v>19</v>
      </c>
      <c r="K20" s="27">
        <v>53</v>
      </c>
      <c r="L20" s="29">
        <v>0</v>
      </c>
      <c r="M20" s="29">
        <v>0</v>
      </c>
      <c r="N20" s="29">
        <v>0</v>
      </c>
      <c r="O20" s="29">
        <v>0</v>
      </c>
      <c r="P20" s="29">
        <v>19</v>
      </c>
      <c r="Q20" s="29">
        <v>53</v>
      </c>
      <c r="R20" s="58">
        <v>3720</v>
      </c>
      <c r="S20" s="30">
        <v>3706</v>
      </c>
      <c r="T20" s="30">
        <v>3452</v>
      </c>
      <c r="U20" s="59">
        <v>3401</v>
      </c>
      <c r="V20" s="31">
        <v>3501</v>
      </c>
      <c r="W20" s="27">
        <v>46</v>
      </c>
      <c r="X20" s="27">
        <v>0</v>
      </c>
      <c r="Y20" s="27">
        <v>47</v>
      </c>
      <c r="Z20" s="27">
        <v>0</v>
      </c>
      <c r="AA20" s="27">
        <v>62</v>
      </c>
      <c r="AB20" s="27">
        <v>0</v>
      </c>
      <c r="AC20" s="32">
        <f t="shared" si="0"/>
        <v>100</v>
      </c>
      <c r="AD20" s="33">
        <f t="shared" si="1"/>
        <v>-51</v>
      </c>
      <c r="AE20" s="27">
        <v>158</v>
      </c>
      <c r="AF20" s="34">
        <f t="shared" si="2"/>
        <v>0.92325949367088611</v>
      </c>
      <c r="AG20" s="35">
        <f t="shared" si="3"/>
        <v>155</v>
      </c>
      <c r="AH20" s="34">
        <f t="shared" si="4"/>
        <v>0.91424731182795704</v>
      </c>
      <c r="AI20" s="226">
        <f t="shared" si="17"/>
        <v>1</v>
      </c>
      <c r="AJ20" s="37">
        <f t="shared" si="6"/>
        <v>0.93249551971326161</v>
      </c>
      <c r="AK20" s="236">
        <v>10.25</v>
      </c>
      <c r="AL20" s="240">
        <v>138.24</v>
      </c>
      <c r="AM20" s="38">
        <f t="shared" si="7"/>
        <v>1416.96</v>
      </c>
      <c r="AN20" s="236">
        <v>29.654630999999998</v>
      </c>
      <c r="AO20" s="233">
        <v>964.02582112722973</v>
      </c>
      <c r="AP20" s="39">
        <f t="shared" si="8"/>
        <v>28587.83</v>
      </c>
      <c r="AQ20" s="201">
        <f t="shared" si="9"/>
        <v>8822.343428403412</v>
      </c>
      <c r="AR20" s="198">
        <f t="shared" si="10"/>
        <v>154.41666666666666</v>
      </c>
      <c r="AS20" s="13"/>
      <c r="AT20" s="27">
        <v>14</v>
      </c>
      <c r="AU20" s="40">
        <v>247</v>
      </c>
      <c r="AV20" s="40">
        <v>15</v>
      </c>
      <c r="AW20" s="40">
        <v>247</v>
      </c>
      <c r="AX20" s="40">
        <v>32</v>
      </c>
      <c r="AY20" s="40">
        <v>247</v>
      </c>
      <c r="AZ20" s="27">
        <v>0</v>
      </c>
      <c r="BA20" s="4"/>
      <c r="BB20" s="52">
        <v>1061</v>
      </c>
      <c r="BC20" s="52">
        <v>1076</v>
      </c>
      <c r="BD20" s="52">
        <v>1364</v>
      </c>
      <c r="BE20" s="41">
        <f t="shared" si="11"/>
        <v>15</v>
      </c>
      <c r="BF20" s="41">
        <f t="shared" si="12"/>
        <v>8822.343428403412</v>
      </c>
      <c r="BG20" s="60">
        <f t="shared" si="13"/>
        <v>56.833333333333336</v>
      </c>
      <c r="BH20" s="43">
        <v>1.964</v>
      </c>
      <c r="BI20" s="44">
        <v>1.956</v>
      </c>
      <c r="BJ20" s="45">
        <v>27.5</v>
      </c>
      <c r="BK20" s="47">
        <v>27.75</v>
      </c>
      <c r="BL20" s="47">
        <v>22.42</v>
      </c>
      <c r="BM20" s="47">
        <v>29.66</v>
      </c>
      <c r="BN20" s="47">
        <v>1004.1</v>
      </c>
      <c r="BO20" s="45">
        <v>50.09</v>
      </c>
      <c r="BP20" s="48">
        <v>0.93559999999999999</v>
      </c>
      <c r="BQ20" s="42">
        <v>92.5</v>
      </c>
      <c r="BR20" s="42">
        <v>85.1</v>
      </c>
      <c r="BS20" s="49">
        <f t="shared" si="14"/>
        <v>-7.4000000000000057</v>
      </c>
      <c r="BT20" s="41">
        <v>12363</v>
      </c>
      <c r="BU20" s="41">
        <v>12152</v>
      </c>
      <c r="BV20" s="51">
        <f t="shared" si="15"/>
        <v>-211</v>
      </c>
      <c r="BW20" s="41">
        <f t="shared" si="16"/>
        <v>3.92</v>
      </c>
      <c r="BX20" s="42">
        <v>24</v>
      </c>
      <c r="BY20" s="42">
        <v>24</v>
      </c>
      <c r="CA20" s="42">
        <v>16.899999999999999</v>
      </c>
      <c r="CB20" s="42">
        <v>3.8</v>
      </c>
      <c r="CD20" s="42">
        <v>2.2000000000000002</v>
      </c>
      <c r="CE20" s="42">
        <v>3.4</v>
      </c>
      <c r="CF20" s="42">
        <v>1.8</v>
      </c>
      <c r="CG20" s="42">
        <v>2.2000000000000002</v>
      </c>
    </row>
    <row r="21" spans="1:85">
      <c r="A21" s="452"/>
      <c r="B21" s="24">
        <v>43145</v>
      </c>
      <c r="C21" s="25">
        <v>59.7</v>
      </c>
      <c r="D21" s="26">
        <v>0.68</v>
      </c>
      <c r="E21" s="38">
        <v>51.2</v>
      </c>
      <c r="F21" s="27">
        <v>68</v>
      </c>
      <c r="G21" s="27">
        <v>51</v>
      </c>
      <c r="H21" s="27">
        <v>24</v>
      </c>
      <c r="I21" s="27">
        <v>0</v>
      </c>
      <c r="J21" s="27">
        <v>24</v>
      </c>
      <c r="K21" s="27">
        <v>0</v>
      </c>
      <c r="L21" s="29">
        <v>0</v>
      </c>
      <c r="M21" s="29">
        <v>0</v>
      </c>
      <c r="N21" s="29">
        <v>0</v>
      </c>
      <c r="O21" s="29">
        <v>0</v>
      </c>
      <c r="P21" s="29">
        <v>24</v>
      </c>
      <c r="Q21" s="29">
        <v>0</v>
      </c>
      <c r="R21" s="58">
        <v>3720</v>
      </c>
      <c r="S21" s="30">
        <v>3703</v>
      </c>
      <c r="T21" s="30">
        <v>3703</v>
      </c>
      <c r="U21" s="65">
        <v>3649</v>
      </c>
      <c r="V21" s="31">
        <v>3756</v>
      </c>
      <c r="W21" s="27">
        <v>47</v>
      </c>
      <c r="X21" s="27">
        <v>0</v>
      </c>
      <c r="Y21" s="27">
        <v>48</v>
      </c>
      <c r="Z21" s="27">
        <v>0</v>
      </c>
      <c r="AA21" s="27">
        <v>62</v>
      </c>
      <c r="AB21" s="27">
        <v>0</v>
      </c>
      <c r="AC21" s="32">
        <f t="shared" si="0"/>
        <v>107</v>
      </c>
      <c r="AD21" s="33">
        <f t="shared" si="1"/>
        <v>-54</v>
      </c>
      <c r="AE21" s="27">
        <v>159</v>
      </c>
      <c r="AF21" s="34">
        <f t="shared" si="2"/>
        <v>0.98427672955974843</v>
      </c>
      <c r="AG21" s="35">
        <f t="shared" si="3"/>
        <v>155</v>
      </c>
      <c r="AH21" s="34">
        <f t="shared" si="4"/>
        <v>0.9809139784946237</v>
      </c>
      <c r="AI21" s="226">
        <f t="shared" si="17"/>
        <v>1</v>
      </c>
      <c r="AJ21" s="37">
        <f t="shared" si="6"/>
        <v>1</v>
      </c>
      <c r="AK21" s="236">
        <v>10.3</v>
      </c>
      <c r="AL21" s="240">
        <v>138.31</v>
      </c>
      <c r="AM21" s="38">
        <f t="shared" si="7"/>
        <v>1424.5930000000001</v>
      </c>
      <c r="AN21" s="236">
        <v>31.363130999999999</v>
      </c>
      <c r="AO21" s="233">
        <v>967.5784283144435</v>
      </c>
      <c r="AP21" s="39">
        <f t="shared" si="8"/>
        <v>30346.289000000001</v>
      </c>
      <c r="AQ21" s="201">
        <f t="shared" si="9"/>
        <v>8706.7366401753916</v>
      </c>
      <c r="AR21" s="198">
        <f t="shared" si="10"/>
        <v>154.29166666666666</v>
      </c>
      <c r="AS21" s="13"/>
      <c r="AT21" s="27">
        <v>0</v>
      </c>
      <c r="AU21" s="40">
        <v>0</v>
      </c>
      <c r="AV21" s="40">
        <v>0</v>
      </c>
      <c r="AW21" s="27">
        <v>0</v>
      </c>
      <c r="AX21" s="40">
        <v>0</v>
      </c>
      <c r="AY21" s="27">
        <v>0</v>
      </c>
      <c r="AZ21" s="27">
        <v>0</v>
      </c>
      <c r="BA21" s="4"/>
      <c r="BB21" s="52">
        <v>1131</v>
      </c>
      <c r="BC21" s="52">
        <v>1145</v>
      </c>
      <c r="BD21" s="52">
        <v>1480</v>
      </c>
      <c r="BE21" s="41">
        <f t="shared" si="11"/>
        <v>14</v>
      </c>
      <c r="BF21" s="41">
        <f t="shared" si="12"/>
        <v>8706.7366401753916</v>
      </c>
      <c r="BG21" s="60">
        <f t="shared" si="13"/>
        <v>61.666666666666664</v>
      </c>
      <c r="BH21" s="43">
        <v>2.2269999999999999</v>
      </c>
      <c r="BI21" s="44">
        <v>2.2269999999999999</v>
      </c>
      <c r="BJ21" s="45">
        <v>27.5</v>
      </c>
      <c r="BK21" s="47">
        <v>28.93</v>
      </c>
      <c r="BL21" s="47">
        <v>23.42</v>
      </c>
      <c r="BM21" s="47">
        <v>30.02</v>
      </c>
      <c r="BN21" s="66">
        <v>1004.7</v>
      </c>
      <c r="BO21" s="45">
        <v>50.13</v>
      </c>
      <c r="BP21" s="48">
        <v>0.93579999999999997</v>
      </c>
      <c r="BQ21" s="42">
        <v>94.98</v>
      </c>
      <c r="BR21" s="42">
        <v>85</v>
      </c>
      <c r="BS21" s="49">
        <f t="shared" si="14"/>
        <v>-9.980000000000004</v>
      </c>
      <c r="BT21" s="41">
        <v>12444</v>
      </c>
      <c r="BU21" s="41">
        <v>12100</v>
      </c>
      <c r="BV21" s="51">
        <f t="shared" si="15"/>
        <v>-344</v>
      </c>
      <c r="BW21" s="41">
        <f t="shared" si="16"/>
        <v>4.4539999999999997</v>
      </c>
      <c r="BX21" s="42">
        <v>24</v>
      </c>
      <c r="BY21" s="42">
        <v>24</v>
      </c>
      <c r="CA21" s="42">
        <v>22.42</v>
      </c>
      <c r="CB21" s="42">
        <v>7</v>
      </c>
      <c r="CD21" s="42">
        <v>2.2000000000000002</v>
      </c>
      <c r="CE21" s="42">
        <v>3.8</v>
      </c>
      <c r="CF21" s="42">
        <v>1.7</v>
      </c>
      <c r="CG21" s="42">
        <v>2</v>
      </c>
    </row>
    <row r="22" spans="1:85">
      <c r="A22" s="452"/>
      <c r="B22" s="24">
        <v>43146</v>
      </c>
      <c r="C22" s="25">
        <v>62.6</v>
      </c>
      <c r="D22" s="26">
        <v>0.79979999999999996</v>
      </c>
      <c r="E22" s="38">
        <v>59.07</v>
      </c>
      <c r="F22" s="27">
        <v>72</v>
      </c>
      <c r="G22" s="27">
        <v>53</v>
      </c>
      <c r="H22" s="27">
        <v>24</v>
      </c>
      <c r="I22" s="27">
        <v>0</v>
      </c>
      <c r="J22" s="27">
        <v>24</v>
      </c>
      <c r="K22" s="27">
        <v>0</v>
      </c>
      <c r="L22" s="29">
        <v>0</v>
      </c>
      <c r="M22" s="29">
        <v>0</v>
      </c>
      <c r="N22" s="29">
        <v>0</v>
      </c>
      <c r="O22" s="29">
        <v>0</v>
      </c>
      <c r="P22" s="29">
        <v>24</v>
      </c>
      <c r="Q22" s="29">
        <v>0</v>
      </c>
      <c r="R22" s="67">
        <v>3709</v>
      </c>
      <c r="S22" s="30">
        <v>3697</v>
      </c>
      <c r="T22" s="30">
        <v>3697</v>
      </c>
      <c r="U22" s="59">
        <v>3632</v>
      </c>
      <c r="V22" s="31">
        <v>3739</v>
      </c>
      <c r="W22" s="27">
        <v>47</v>
      </c>
      <c r="X22" s="27">
        <v>0</v>
      </c>
      <c r="Y22" s="27">
        <v>47</v>
      </c>
      <c r="Z22" s="27">
        <v>0</v>
      </c>
      <c r="AA22" s="27">
        <v>62</v>
      </c>
      <c r="AB22" s="27">
        <v>0</v>
      </c>
      <c r="AC22" s="32">
        <f t="shared" si="0"/>
        <v>107</v>
      </c>
      <c r="AD22" s="33">
        <f t="shared" si="1"/>
        <v>-65</v>
      </c>
      <c r="AE22" s="27">
        <v>160</v>
      </c>
      <c r="AF22" s="34">
        <f t="shared" si="2"/>
        <v>0.97369791666666672</v>
      </c>
      <c r="AG22" s="35">
        <f t="shared" si="3"/>
        <v>154.54166666666666</v>
      </c>
      <c r="AH22" s="34">
        <f t="shared" si="4"/>
        <v>0.97923968724723642</v>
      </c>
      <c r="AI22" s="226">
        <f t="shared" si="17"/>
        <v>1</v>
      </c>
      <c r="AJ22" s="37">
        <f t="shared" si="6"/>
        <v>1</v>
      </c>
      <c r="AK22" s="236">
        <v>10.308</v>
      </c>
      <c r="AL22" s="240">
        <v>136.06</v>
      </c>
      <c r="AM22" s="38">
        <f t="shared" si="7"/>
        <v>1402.50648</v>
      </c>
      <c r="AN22" s="236">
        <v>31.241392900000001</v>
      </c>
      <c r="AO22" s="233">
        <v>968.48799472826533</v>
      </c>
      <c r="AP22" s="39">
        <f t="shared" si="8"/>
        <v>30256.913962238868</v>
      </c>
      <c r="AQ22" s="201">
        <f t="shared" si="9"/>
        <v>8716.8007825547538</v>
      </c>
      <c r="AR22" s="198">
        <f t="shared" si="10"/>
        <v>154.04166666666666</v>
      </c>
      <c r="AS22" s="13"/>
      <c r="AT22" s="27">
        <v>0</v>
      </c>
      <c r="AU22" s="40">
        <v>0</v>
      </c>
      <c r="AV22" s="40">
        <v>0</v>
      </c>
      <c r="AW22" s="27">
        <v>0</v>
      </c>
      <c r="AX22" s="40">
        <v>0</v>
      </c>
      <c r="AY22" s="27">
        <v>0</v>
      </c>
      <c r="AZ22" s="27">
        <v>0</v>
      </c>
      <c r="BA22" s="4"/>
      <c r="BB22" s="52">
        <v>1127</v>
      </c>
      <c r="BC22" s="52">
        <v>1135</v>
      </c>
      <c r="BD22" s="52">
        <v>1477</v>
      </c>
      <c r="BE22" s="41">
        <f t="shared" si="11"/>
        <v>8</v>
      </c>
      <c r="BF22" s="41">
        <f t="shared" si="12"/>
        <v>8716.8007825547538</v>
      </c>
      <c r="BG22" s="60">
        <f t="shared" si="13"/>
        <v>61.541666666666664</v>
      </c>
      <c r="BH22" s="43">
        <v>2.2250000000000001</v>
      </c>
      <c r="BI22" s="44">
        <v>2.2250000000000001</v>
      </c>
      <c r="BJ22" s="45">
        <v>27.5</v>
      </c>
      <c r="BK22" s="47">
        <v>28.9</v>
      </c>
      <c r="BL22" s="47">
        <v>23.28</v>
      </c>
      <c r="BM22" s="47">
        <v>29.6</v>
      </c>
      <c r="BN22" s="47">
        <v>1001.7</v>
      </c>
      <c r="BO22" s="45">
        <v>50.1</v>
      </c>
      <c r="BP22" s="48">
        <v>0.93700000000000006</v>
      </c>
      <c r="BQ22" s="42">
        <v>95.86</v>
      </c>
      <c r="BR22" s="42">
        <v>84.92</v>
      </c>
      <c r="BS22" s="49">
        <f t="shared" si="14"/>
        <v>-10.939999999999998</v>
      </c>
      <c r="BT22" s="41">
        <v>12396</v>
      </c>
      <c r="BU22" s="41">
        <v>12255</v>
      </c>
      <c r="BV22" s="51">
        <f t="shared" si="15"/>
        <v>-141</v>
      </c>
      <c r="BW22" s="41">
        <f t="shared" si="16"/>
        <v>4.45</v>
      </c>
      <c r="BX22" s="42">
        <v>24</v>
      </c>
      <c r="BY22" s="42">
        <v>24</v>
      </c>
      <c r="CA22" s="42">
        <v>24</v>
      </c>
      <c r="CB22" s="42">
        <v>7.03</v>
      </c>
      <c r="CD22" s="42">
        <v>2.1</v>
      </c>
      <c r="CE22" s="42">
        <v>3.7</v>
      </c>
      <c r="CF22" s="42">
        <v>1.7</v>
      </c>
      <c r="CG22" s="42">
        <v>1.4</v>
      </c>
    </row>
    <row r="23" spans="1:85">
      <c r="A23" s="452"/>
      <c r="B23" s="24">
        <v>43147</v>
      </c>
      <c r="C23" s="25">
        <v>62.52</v>
      </c>
      <c r="D23" s="26">
        <v>0.69020000000000004</v>
      </c>
      <c r="E23" s="38">
        <v>56.74</v>
      </c>
      <c r="F23" s="28">
        <v>75</v>
      </c>
      <c r="G23" s="28">
        <v>56</v>
      </c>
      <c r="H23" s="28">
        <v>24</v>
      </c>
      <c r="I23" s="28">
        <v>0</v>
      </c>
      <c r="J23" s="28">
        <v>24</v>
      </c>
      <c r="K23" s="28">
        <v>0</v>
      </c>
      <c r="L23" s="28">
        <v>0</v>
      </c>
      <c r="M23" s="28">
        <v>0</v>
      </c>
      <c r="N23" s="28">
        <v>0</v>
      </c>
      <c r="O23" s="28">
        <v>0</v>
      </c>
      <c r="P23" s="28">
        <v>22</v>
      </c>
      <c r="Q23" s="28">
        <v>50</v>
      </c>
      <c r="R23" s="67">
        <v>3699</v>
      </c>
      <c r="S23" s="68">
        <v>3673</v>
      </c>
      <c r="T23" s="69">
        <v>3642</v>
      </c>
      <c r="U23" s="70">
        <v>3581</v>
      </c>
      <c r="V23" s="70">
        <v>3684</v>
      </c>
      <c r="W23" s="28">
        <v>46</v>
      </c>
      <c r="X23" s="28">
        <v>0</v>
      </c>
      <c r="Y23" s="28">
        <v>46</v>
      </c>
      <c r="Z23" s="28">
        <v>0</v>
      </c>
      <c r="AA23" s="28">
        <v>62</v>
      </c>
      <c r="AB23" s="28">
        <v>0</v>
      </c>
      <c r="AC23" s="32">
        <f t="shared" si="0"/>
        <v>103</v>
      </c>
      <c r="AD23" s="33">
        <f t="shared" si="1"/>
        <v>-61</v>
      </c>
      <c r="AE23" s="28">
        <v>158</v>
      </c>
      <c r="AF23" s="34">
        <f t="shared" si="2"/>
        <v>0.97151898734177211</v>
      </c>
      <c r="AG23" s="35">
        <f t="shared" si="3"/>
        <v>154.125</v>
      </c>
      <c r="AH23" s="34">
        <f t="shared" si="4"/>
        <v>0.96809948634766152</v>
      </c>
      <c r="AI23" s="226">
        <f t="shared" si="17"/>
        <v>1</v>
      </c>
      <c r="AJ23" s="37">
        <f t="shared" si="6"/>
        <v>0.9952651515151516</v>
      </c>
      <c r="AK23" s="236">
        <v>10.28</v>
      </c>
      <c r="AL23" s="240">
        <v>135.38</v>
      </c>
      <c r="AM23" s="38">
        <f t="shared" si="7"/>
        <v>1391.7063999999998</v>
      </c>
      <c r="AN23" s="236">
        <v>30.916</v>
      </c>
      <c r="AO23" s="233">
        <v>967.7502830341258</v>
      </c>
      <c r="AP23" s="39">
        <f t="shared" si="8"/>
        <v>29918.967750283035</v>
      </c>
      <c r="AQ23" s="201">
        <f t="shared" si="9"/>
        <v>8743.5560319137221</v>
      </c>
      <c r="AR23" s="198">
        <f t="shared" si="10"/>
        <v>153.04166666666666</v>
      </c>
      <c r="AS23" s="13"/>
      <c r="AT23" s="28">
        <v>0</v>
      </c>
      <c r="AU23" s="40">
        <v>0</v>
      </c>
      <c r="AV23" s="40">
        <v>0</v>
      </c>
      <c r="AW23" s="27">
        <v>0</v>
      </c>
      <c r="AX23" s="28">
        <v>15</v>
      </c>
      <c r="AY23" s="28">
        <v>70</v>
      </c>
      <c r="AZ23" s="28">
        <v>0</v>
      </c>
      <c r="BA23" s="4"/>
      <c r="BB23" s="52">
        <v>1107</v>
      </c>
      <c r="BC23" s="52">
        <v>1108</v>
      </c>
      <c r="BD23" s="52">
        <v>1469</v>
      </c>
      <c r="BE23" s="41">
        <f t="shared" si="11"/>
        <v>1</v>
      </c>
      <c r="BF23" s="41">
        <f t="shared" si="12"/>
        <v>8743.5560319137221</v>
      </c>
      <c r="BG23" s="60">
        <f t="shared" si="13"/>
        <v>61.208333333333336</v>
      </c>
      <c r="BH23" s="71">
        <v>2.1920000000000002</v>
      </c>
      <c r="BI23" s="71">
        <v>2.1789999999999998</v>
      </c>
      <c r="BJ23" s="72">
        <v>27.5</v>
      </c>
      <c r="BK23" s="72">
        <v>28.47</v>
      </c>
      <c r="BL23" s="72">
        <v>22.91</v>
      </c>
      <c r="BM23" s="72">
        <v>29.71</v>
      </c>
      <c r="BN23" s="73">
        <v>999</v>
      </c>
      <c r="BO23" s="73">
        <v>50.09</v>
      </c>
      <c r="BP23" s="74">
        <v>0.93700000000000006</v>
      </c>
      <c r="BQ23" s="54">
        <v>95.44</v>
      </c>
      <c r="BR23" s="54">
        <v>84.82</v>
      </c>
      <c r="BS23" s="49">
        <f t="shared" si="14"/>
        <v>-10.620000000000005</v>
      </c>
      <c r="BT23" s="55">
        <v>12089</v>
      </c>
      <c r="BU23" s="55">
        <v>11941</v>
      </c>
      <c r="BV23" s="51">
        <f t="shared" si="15"/>
        <v>-148</v>
      </c>
      <c r="BW23" s="41">
        <f t="shared" si="16"/>
        <v>4.3710000000000004</v>
      </c>
      <c r="BX23" s="73">
        <v>24</v>
      </c>
      <c r="BY23" s="73">
        <v>24</v>
      </c>
      <c r="CA23" s="73">
        <v>22.85</v>
      </c>
      <c r="CB23" s="73">
        <v>8.2799999999999994</v>
      </c>
      <c r="CD23" s="73">
        <v>2.2000000000000002</v>
      </c>
      <c r="CE23" s="73">
        <v>3.5</v>
      </c>
      <c r="CF23" s="73">
        <v>1.8</v>
      </c>
      <c r="CG23" s="73">
        <v>1.3</v>
      </c>
    </row>
    <row r="24" spans="1:85">
      <c r="A24" s="452"/>
      <c r="B24" s="24">
        <v>43148</v>
      </c>
      <c r="C24" s="25">
        <v>66.900000000000006</v>
      </c>
      <c r="D24" s="26">
        <v>0.69599999999999995</v>
      </c>
      <c r="E24" s="38">
        <v>58.2</v>
      </c>
      <c r="F24" s="75">
        <v>79</v>
      </c>
      <c r="G24" s="75">
        <v>56</v>
      </c>
      <c r="H24" s="27">
        <v>24</v>
      </c>
      <c r="I24" s="27">
        <v>0</v>
      </c>
      <c r="J24" s="27">
        <v>24</v>
      </c>
      <c r="K24" s="27">
        <v>0</v>
      </c>
      <c r="L24" s="29">
        <v>0</v>
      </c>
      <c r="M24" s="29">
        <v>0</v>
      </c>
      <c r="N24" s="29">
        <v>0</v>
      </c>
      <c r="O24" s="29">
        <v>0</v>
      </c>
      <c r="P24" s="29">
        <v>18</v>
      </c>
      <c r="Q24" s="29">
        <v>0</v>
      </c>
      <c r="R24" s="67">
        <v>3689</v>
      </c>
      <c r="S24" s="68">
        <v>3659</v>
      </c>
      <c r="T24" s="76">
        <v>3513</v>
      </c>
      <c r="U24" s="31">
        <v>3462</v>
      </c>
      <c r="V24" s="31">
        <v>3563</v>
      </c>
      <c r="W24" s="27">
        <v>45</v>
      </c>
      <c r="X24" s="27">
        <v>0</v>
      </c>
      <c r="Y24" s="27">
        <v>46</v>
      </c>
      <c r="Z24" s="27">
        <v>0</v>
      </c>
      <c r="AA24" s="27">
        <v>60</v>
      </c>
      <c r="AB24" s="27">
        <v>0</v>
      </c>
      <c r="AC24" s="32">
        <f t="shared" si="0"/>
        <v>101</v>
      </c>
      <c r="AD24" s="33">
        <f t="shared" si="1"/>
        <v>-51</v>
      </c>
      <c r="AE24" s="28">
        <v>156</v>
      </c>
      <c r="AF24" s="34">
        <f t="shared" si="2"/>
        <v>0.95165598290598286</v>
      </c>
      <c r="AG24" s="35">
        <f t="shared" si="3"/>
        <v>153.70833333333334</v>
      </c>
      <c r="AH24" s="34">
        <f t="shared" si="4"/>
        <v>0.93846570886419078</v>
      </c>
      <c r="AI24" s="226">
        <f t="shared" si="17"/>
        <v>1</v>
      </c>
      <c r="AJ24" s="37">
        <f t="shared" si="6"/>
        <v>0.97516556291390732</v>
      </c>
      <c r="AK24" s="235">
        <v>10.18</v>
      </c>
      <c r="AL24" s="239">
        <v>134.16999999999999</v>
      </c>
      <c r="AM24" s="38">
        <f t="shared" si="7"/>
        <v>1365.8505999999998</v>
      </c>
      <c r="AN24" s="235">
        <v>29.751000000000001</v>
      </c>
      <c r="AO24" s="232">
        <v>968.84033613445376</v>
      </c>
      <c r="AP24" s="39">
        <f t="shared" si="8"/>
        <v>28823.968840336136</v>
      </c>
      <c r="AQ24" s="201">
        <f t="shared" si="9"/>
        <v>8720.3406817839787</v>
      </c>
      <c r="AR24" s="198">
        <f t="shared" si="10"/>
        <v>152.45833333333334</v>
      </c>
      <c r="AS24" s="13"/>
      <c r="AT24" s="27">
        <v>0</v>
      </c>
      <c r="AU24" s="40">
        <v>0</v>
      </c>
      <c r="AV24" s="40">
        <v>0</v>
      </c>
      <c r="AW24" s="27">
        <v>0</v>
      </c>
      <c r="AX24" s="40">
        <v>15</v>
      </c>
      <c r="AY24" s="27">
        <v>360</v>
      </c>
      <c r="AZ24" s="27">
        <v>0</v>
      </c>
      <c r="BA24" s="4"/>
      <c r="BB24" s="52">
        <v>1077</v>
      </c>
      <c r="BC24" s="52">
        <v>1094</v>
      </c>
      <c r="BD24" s="52">
        <v>1392</v>
      </c>
      <c r="BE24" s="41">
        <f t="shared" si="11"/>
        <v>17</v>
      </c>
      <c r="BF24" s="41">
        <f t="shared" si="12"/>
        <v>8720.3406817839787</v>
      </c>
      <c r="BG24" s="60">
        <f t="shared" si="13"/>
        <v>58</v>
      </c>
      <c r="BH24" s="43">
        <v>1.893</v>
      </c>
      <c r="BI24" s="44">
        <v>1.861</v>
      </c>
      <c r="BJ24" s="45">
        <v>27.5</v>
      </c>
      <c r="BK24" s="47">
        <v>27.87</v>
      </c>
      <c r="BL24" s="47">
        <v>22.59</v>
      </c>
      <c r="BM24" s="47">
        <v>29.64</v>
      </c>
      <c r="BN24" s="47">
        <v>994.96</v>
      </c>
      <c r="BO24" s="45">
        <v>50.05</v>
      </c>
      <c r="BP24" s="48">
        <v>0.93769999999999998</v>
      </c>
      <c r="BQ24" s="54">
        <v>93.57</v>
      </c>
      <c r="BR24" s="54">
        <v>84.71</v>
      </c>
      <c r="BS24" s="49">
        <f t="shared" si="14"/>
        <v>-8.86</v>
      </c>
      <c r="BT24" s="55">
        <v>12171</v>
      </c>
      <c r="BU24" s="55">
        <v>11966</v>
      </c>
      <c r="BV24" s="51">
        <f t="shared" si="15"/>
        <v>-205</v>
      </c>
      <c r="BW24" s="41">
        <f t="shared" si="16"/>
        <v>3.754</v>
      </c>
      <c r="BX24" s="42">
        <v>23.67</v>
      </c>
      <c r="BY24" s="42">
        <v>23.67</v>
      </c>
      <c r="CA24" s="42">
        <v>18.62</v>
      </c>
      <c r="CB24" s="42">
        <v>7</v>
      </c>
      <c r="CD24" s="42">
        <v>2.1</v>
      </c>
      <c r="CE24" s="42">
        <v>3.5</v>
      </c>
      <c r="CF24" s="42">
        <v>1.7</v>
      </c>
      <c r="CG24" s="42">
        <v>1</v>
      </c>
    </row>
    <row r="25" spans="1:85">
      <c r="A25" s="453"/>
      <c r="B25" s="24">
        <v>43149</v>
      </c>
      <c r="C25" s="25">
        <v>65.599999999999994</v>
      </c>
      <c r="D25" s="26">
        <v>0.70299999999999996</v>
      </c>
      <c r="E25" s="38">
        <v>56.6</v>
      </c>
      <c r="F25" s="28">
        <v>80</v>
      </c>
      <c r="G25" s="28">
        <v>51</v>
      </c>
      <c r="H25" s="27">
        <v>24</v>
      </c>
      <c r="I25" s="27">
        <v>0</v>
      </c>
      <c r="J25" s="27">
        <v>24</v>
      </c>
      <c r="K25" s="27">
        <v>0</v>
      </c>
      <c r="L25" s="29">
        <v>0</v>
      </c>
      <c r="M25" s="29">
        <v>0</v>
      </c>
      <c r="N25" s="29">
        <v>0</v>
      </c>
      <c r="O25" s="29">
        <v>0</v>
      </c>
      <c r="P25" s="29">
        <v>0</v>
      </c>
      <c r="Q25" s="29">
        <v>0</v>
      </c>
      <c r="R25" s="67">
        <v>3689</v>
      </c>
      <c r="S25" s="68">
        <v>3334</v>
      </c>
      <c r="T25" s="76">
        <v>3214</v>
      </c>
      <c r="U25" s="31">
        <v>3178</v>
      </c>
      <c r="V25" s="31">
        <v>3265</v>
      </c>
      <c r="W25" s="27">
        <v>46</v>
      </c>
      <c r="X25" s="28">
        <v>0</v>
      </c>
      <c r="Y25" s="28">
        <v>46</v>
      </c>
      <c r="Z25" s="28">
        <v>0</v>
      </c>
      <c r="AA25" s="28">
        <v>60</v>
      </c>
      <c r="AB25" s="28">
        <v>0</v>
      </c>
      <c r="AC25" s="32">
        <f t="shared" si="0"/>
        <v>87</v>
      </c>
      <c r="AD25" s="33">
        <f t="shared" si="1"/>
        <v>-36</v>
      </c>
      <c r="AE25" s="28">
        <v>140</v>
      </c>
      <c r="AF25" s="34">
        <f t="shared" si="2"/>
        <v>0.97172619047619047</v>
      </c>
      <c r="AG25" s="35">
        <f t="shared" si="3"/>
        <v>153.70833333333334</v>
      </c>
      <c r="AH25" s="34">
        <f t="shared" si="4"/>
        <v>0.86148007590132825</v>
      </c>
      <c r="AI25" s="226">
        <f t="shared" si="17"/>
        <v>1</v>
      </c>
      <c r="AJ25" s="37">
        <f t="shared" si="6"/>
        <v>0.90131578947368418</v>
      </c>
      <c r="AK25" s="235">
        <v>10.164999999999999</v>
      </c>
      <c r="AL25" s="239">
        <v>137</v>
      </c>
      <c r="AM25" s="38">
        <f t="shared" si="7"/>
        <v>1392.6049999999998</v>
      </c>
      <c r="AN25" s="235">
        <v>26.347000000000001</v>
      </c>
      <c r="AO25" s="232">
        <v>965.91642312217709</v>
      </c>
      <c r="AP25" s="39">
        <f t="shared" si="8"/>
        <v>25449</v>
      </c>
      <c r="AQ25" s="201">
        <f t="shared" si="9"/>
        <v>8446.0682819383255</v>
      </c>
      <c r="AR25" s="198">
        <f t="shared" si="10"/>
        <v>138.91666666666666</v>
      </c>
      <c r="AS25" s="13"/>
      <c r="AT25" s="27">
        <v>0</v>
      </c>
      <c r="AU25" s="40">
        <v>0</v>
      </c>
      <c r="AV25" s="40">
        <v>0</v>
      </c>
      <c r="AW25" s="27">
        <v>0</v>
      </c>
      <c r="AX25" s="40">
        <v>15</v>
      </c>
      <c r="AY25" s="27">
        <v>1440</v>
      </c>
      <c r="AZ25" s="27">
        <v>0</v>
      </c>
      <c r="BA25" s="4"/>
      <c r="BB25" s="52">
        <v>1108</v>
      </c>
      <c r="BC25" s="52">
        <v>1100</v>
      </c>
      <c r="BD25" s="52">
        <v>1057</v>
      </c>
      <c r="BE25" s="41">
        <f t="shared" si="11"/>
        <v>-8</v>
      </c>
      <c r="BF25" s="41">
        <f t="shared" si="12"/>
        <v>8446.0682819383255</v>
      </c>
      <c r="BG25" s="60">
        <f t="shared" si="13"/>
        <v>44.041666666666664</v>
      </c>
      <c r="BH25" s="43">
        <v>4.2000000000000003E-2</v>
      </c>
      <c r="BI25" s="44">
        <v>5.2999999999999999E-2</v>
      </c>
      <c r="BJ25" s="45">
        <v>27.5</v>
      </c>
      <c r="BK25" s="47">
        <v>28.5</v>
      </c>
      <c r="BL25" s="47">
        <v>22.71</v>
      </c>
      <c r="BM25" s="47">
        <v>29.71</v>
      </c>
      <c r="BN25" s="47">
        <v>992.88</v>
      </c>
      <c r="BO25" s="45">
        <v>50.07</v>
      </c>
      <c r="BP25" s="48">
        <v>0.93679999999999997</v>
      </c>
      <c r="BQ25" s="54">
        <v>95.9</v>
      </c>
      <c r="BR25" s="54">
        <v>84.57</v>
      </c>
      <c r="BS25" s="49">
        <f t="shared" si="14"/>
        <v>-11.330000000000013</v>
      </c>
      <c r="BT25" s="55">
        <v>12098</v>
      </c>
      <c r="BU25" s="55">
        <v>11948</v>
      </c>
      <c r="BV25" s="51">
        <f t="shared" si="15"/>
        <v>-150</v>
      </c>
      <c r="BW25" s="41">
        <f t="shared" si="16"/>
        <v>9.5000000000000001E-2</v>
      </c>
      <c r="BX25" s="42">
        <v>1</v>
      </c>
      <c r="BY25" s="42">
        <v>1.1000000000000001</v>
      </c>
      <c r="CA25" s="42">
        <v>24</v>
      </c>
      <c r="CB25" s="42">
        <v>6.83</v>
      </c>
      <c r="CD25" s="42">
        <v>2.2000000000000002</v>
      </c>
      <c r="CE25" s="42">
        <v>3.6</v>
      </c>
      <c r="CF25" s="42">
        <v>1.9</v>
      </c>
      <c r="CG25" s="42">
        <v>1.2</v>
      </c>
    </row>
    <row r="26" spans="1:85">
      <c r="A26" s="454" t="s">
        <v>143</v>
      </c>
      <c r="B26" s="154">
        <v>43150</v>
      </c>
      <c r="C26" s="157">
        <v>68.8</v>
      </c>
      <c r="D26" s="197">
        <v>0.58399999999999996</v>
      </c>
      <c r="E26" s="171">
        <v>55.9</v>
      </c>
      <c r="F26" s="160">
        <v>80</v>
      </c>
      <c r="G26" s="160">
        <v>56</v>
      </c>
      <c r="H26" s="160">
        <v>24</v>
      </c>
      <c r="I26" s="160">
        <v>0</v>
      </c>
      <c r="J26" s="160">
        <v>24</v>
      </c>
      <c r="K26" s="160">
        <v>0</v>
      </c>
      <c r="L26" s="188">
        <v>0</v>
      </c>
      <c r="M26" s="188">
        <v>0</v>
      </c>
      <c r="N26" s="188">
        <v>0</v>
      </c>
      <c r="O26" s="188">
        <v>0</v>
      </c>
      <c r="P26" s="188">
        <v>18</v>
      </c>
      <c r="Q26" s="188">
        <v>54</v>
      </c>
      <c r="R26" s="189">
        <v>3677</v>
      </c>
      <c r="S26" s="190">
        <v>3654</v>
      </c>
      <c r="T26" s="190">
        <v>3555</v>
      </c>
      <c r="U26" s="164">
        <v>3505</v>
      </c>
      <c r="V26" s="164">
        <v>3608</v>
      </c>
      <c r="W26" s="160">
        <v>46</v>
      </c>
      <c r="X26" s="160">
        <v>0</v>
      </c>
      <c r="Y26" s="160">
        <v>46</v>
      </c>
      <c r="Z26" s="160">
        <v>0</v>
      </c>
      <c r="AA26" s="160">
        <v>60</v>
      </c>
      <c r="AB26" s="160">
        <v>0</v>
      </c>
      <c r="AC26" s="165">
        <f t="shared" si="0"/>
        <v>103</v>
      </c>
      <c r="AD26" s="166">
        <f t="shared" si="1"/>
        <v>-50</v>
      </c>
      <c r="AE26" s="160">
        <v>155</v>
      </c>
      <c r="AF26" s="167">
        <f t="shared" si="2"/>
        <v>0.96989247311827953</v>
      </c>
      <c r="AG26" s="168">
        <f t="shared" si="3"/>
        <v>153.20833333333334</v>
      </c>
      <c r="AH26" s="167">
        <f t="shared" si="4"/>
        <v>0.95322273592602669</v>
      </c>
      <c r="AI26" s="169">
        <f t="shared" si="17"/>
        <v>1</v>
      </c>
      <c r="AJ26" s="170">
        <f t="shared" si="6"/>
        <v>0.97902960526315785</v>
      </c>
      <c r="AK26" s="235">
        <v>10.144</v>
      </c>
      <c r="AL26" s="239">
        <v>137.54</v>
      </c>
      <c r="AM26" s="171">
        <f t="shared" si="7"/>
        <v>1395.2057599999998</v>
      </c>
      <c r="AN26" s="235">
        <v>30.178999999999998</v>
      </c>
      <c r="AO26" s="232">
        <v>965.17330505666382</v>
      </c>
      <c r="AP26" s="172">
        <f t="shared" si="8"/>
        <v>29127.965173305056</v>
      </c>
      <c r="AQ26" s="202">
        <f t="shared" si="9"/>
        <v>8708.4653162068626</v>
      </c>
      <c r="AR26" s="199">
        <f t="shared" si="10"/>
        <v>152.25</v>
      </c>
      <c r="AS26" s="13"/>
      <c r="AT26" s="159">
        <v>0</v>
      </c>
      <c r="AU26" s="174">
        <v>0</v>
      </c>
      <c r="AV26" s="174">
        <v>0</v>
      </c>
      <c r="AW26" s="159">
        <v>0</v>
      </c>
      <c r="AX26" s="174">
        <v>15</v>
      </c>
      <c r="AY26" s="159">
        <v>306</v>
      </c>
      <c r="AZ26" s="159">
        <v>0</v>
      </c>
      <c r="BA26" s="4"/>
      <c r="BB26" s="175">
        <v>1105</v>
      </c>
      <c r="BC26" s="175">
        <v>1095</v>
      </c>
      <c r="BD26" s="175">
        <v>1408</v>
      </c>
      <c r="BE26" s="175">
        <f t="shared" si="11"/>
        <v>-10</v>
      </c>
      <c r="BF26" s="175">
        <f t="shared" si="12"/>
        <v>8708.4653162068626</v>
      </c>
      <c r="BG26" s="177">
        <f t="shared" si="13"/>
        <v>58.666666666666664</v>
      </c>
      <c r="BH26" s="191">
        <v>1.996</v>
      </c>
      <c r="BI26" s="155">
        <v>1.9750000000000001</v>
      </c>
      <c r="BJ26" s="181">
        <v>27.5</v>
      </c>
      <c r="BK26" s="192">
        <v>28.53</v>
      </c>
      <c r="BL26" s="192">
        <v>22.68</v>
      </c>
      <c r="BM26" s="192">
        <v>29.66</v>
      </c>
      <c r="BN26" s="192">
        <v>994.54</v>
      </c>
      <c r="BO26" s="192">
        <v>50.09</v>
      </c>
      <c r="BP26" s="193">
        <v>0.93659999999999999</v>
      </c>
      <c r="BQ26" s="194">
        <v>95.7</v>
      </c>
      <c r="BR26" s="194">
        <v>84.46</v>
      </c>
      <c r="BS26" s="49">
        <f t="shared" si="14"/>
        <v>-11.240000000000009</v>
      </c>
      <c r="BT26" s="194">
        <v>12130</v>
      </c>
      <c r="BU26" s="194">
        <v>12002</v>
      </c>
      <c r="BV26" s="51">
        <f t="shared" si="15"/>
        <v>-128</v>
      </c>
      <c r="BW26" s="175">
        <f t="shared" si="16"/>
        <v>3.9710000000000001</v>
      </c>
      <c r="BX26" s="177">
        <v>24</v>
      </c>
      <c r="BY26" s="177">
        <v>24</v>
      </c>
      <c r="CA26" s="177">
        <v>24</v>
      </c>
      <c r="CB26" s="177">
        <v>7</v>
      </c>
      <c r="CD26" s="177">
        <v>2.2000000000000002</v>
      </c>
      <c r="CE26" s="177">
        <v>3.4</v>
      </c>
      <c r="CF26" s="177">
        <v>1.7</v>
      </c>
      <c r="CG26" s="177">
        <v>1.5</v>
      </c>
    </row>
    <row r="27" spans="1:85">
      <c r="A27" s="455"/>
      <c r="B27" s="154">
        <v>43151</v>
      </c>
      <c r="C27" s="157">
        <v>68.81</v>
      </c>
      <c r="D27" s="197">
        <v>0.61409999999999998</v>
      </c>
      <c r="E27" s="171">
        <v>57.05</v>
      </c>
      <c r="F27" s="160">
        <v>80</v>
      </c>
      <c r="G27" s="160">
        <v>58</v>
      </c>
      <c r="H27" s="160">
        <v>24</v>
      </c>
      <c r="I27" s="160">
        <v>0</v>
      </c>
      <c r="J27" s="160">
        <v>24</v>
      </c>
      <c r="K27" s="160">
        <v>0</v>
      </c>
      <c r="L27" s="188">
        <v>0</v>
      </c>
      <c r="M27" s="188">
        <v>0</v>
      </c>
      <c r="N27" s="188">
        <v>0</v>
      </c>
      <c r="O27" s="188">
        <v>0</v>
      </c>
      <c r="P27" s="188">
        <v>24</v>
      </c>
      <c r="Q27" s="188">
        <v>0</v>
      </c>
      <c r="R27" s="189">
        <v>3679</v>
      </c>
      <c r="S27" s="163">
        <v>3651</v>
      </c>
      <c r="T27" s="163">
        <v>3651</v>
      </c>
      <c r="U27" s="164">
        <v>3575</v>
      </c>
      <c r="V27" s="164">
        <v>3678</v>
      </c>
      <c r="W27" s="160">
        <v>46</v>
      </c>
      <c r="X27" s="160">
        <v>0</v>
      </c>
      <c r="Y27" s="160">
        <v>45</v>
      </c>
      <c r="Z27" s="160">
        <v>0</v>
      </c>
      <c r="AA27" s="160">
        <v>62</v>
      </c>
      <c r="AB27" s="160">
        <v>0</v>
      </c>
      <c r="AC27" s="165">
        <f t="shared" si="0"/>
        <v>103</v>
      </c>
      <c r="AD27" s="166">
        <f t="shared" si="1"/>
        <v>-76</v>
      </c>
      <c r="AE27" s="160">
        <v>157</v>
      </c>
      <c r="AF27" s="167">
        <f t="shared" si="2"/>
        <v>0.97611464968152861</v>
      </c>
      <c r="AG27" s="168">
        <f t="shared" si="3"/>
        <v>153.29166666666666</v>
      </c>
      <c r="AH27" s="167">
        <f t="shared" si="4"/>
        <v>0.9717314487632509</v>
      </c>
      <c r="AI27" s="169">
        <f t="shared" si="17"/>
        <v>1</v>
      </c>
      <c r="AJ27" s="170">
        <f t="shared" si="6"/>
        <v>1</v>
      </c>
      <c r="AK27" s="235">
        <v>10.130000000000001</v>
      </c>
      <c r="AL27" s="239">
        <v>136.43</v>
      </c>
      <c r="AM27" s="171">
        <f t="shared" si="7"/>
        <v>1382.0359000000001</v>
      </c>
      <c r="AN27" s="235">
        <v>30.902000000000001</v>
      </c>
      <c r="AO27" s="232">
        <v>964.49818310447949</v>
      </c>
      <c r="AP27" s="172">
        <f t="shared" si="8"/>
        <v>29804.922854294626</v>
      </c>
      <c r="AQ27" s="202">
        <f t="shared" si="9"/>
        <v>8723.624826376119</v>
      </c>
      <c r="AR27" s="199">
        <f t="shared" si="10"/>
        <v>152.125</v>
      </c>
      <c r="AS27" s="13"/>
      <c r="AT27" s="159">
        <v>0</v>
      </c>
      <c r="AU27" s="174">
        <v>0</v>
      </c>
      <c r="AV27" s="159">
        <v>0</v>
      </c>
      <c r="AW27" s="159">
        <v>0</v>
      </c>
      <c r="AX27" s="174">
        <v>0</v>
      </c>
      <c r="AY27" s="159">
        <v>0</v>
      </c>
      <c r="AZ27" s="159">
        <v>0</v>
      </c>
      <c r="BA27" s="4"/>
      <c r="BB27" s="175">
        <v>1099</v>
      </c>
      <c r="BC27" s="175">
        <v>1089</v>
      </c>
      <c r="BD27" s="175">
        <v>1490</v>
      </c>
      <c r="BE27" s="175">
        <f t="shared" si="11"/>
        <v>-10</v>
      </c>
      <c r="BF27" s="175">
        <f t="shared" si="12"/>
        <v>8723.624826376119</v>
      </c>
      <c r="BG27" s="177">
        <f t="shared" si="13"/>
        <v>62.083333333333336</v>
      </c>
      <c r="BH27" s="191">
        <v>2.4289999999999998</v>
      </c>
      <c r="BI27" s="155">
        <v>2.4289999999999998</v>
      </c>
      <c r="BJ27" s="181">
        <v>27.5</v>
      </c>
      <c r="BK27" s="192">
        <v>28.45</v>
      </c>
      <c r="BL27" s="192">
        <v>22.66</v>
      </c>
      <c r="BM27" s="192">
        <v>29.55</v>
      </c>
      <c r="BN27" s="195">
        <v>993.5</v>
      </c>
      <c r="BO27" s="192">
        <v>50.06</v>
      </c>
      <c r="BP27" s="193">
        <v>0.93689999999999996</v>
      </c>
      <c r="BQ27" s="194">
        <v>95.85</v>
      </c>
      <c r="BR27" s="194">
        <v>84.49</v>
      </c>
      <c r="BS27" s="49">
        <f t="shared" si="14"/>
        <v>-11.36</v>
      </c>
      <c r="BT27" s="194">
        <v>12163</v>
      </c>
      <c r="BU27" s="194">
        <v>12055</v>
      </c>
      <c r="BV27" s="51">
        <f t="shared" si="15"/>
        <v>-108</v>
      </c>
      <c r="BW27" s="175">
        <f t="shared" si="16"/>
        <v>4.8579999999999997</v>
      </c>
      <c r="BX27" s="177">
        <v>24</v>
      </c>
      <c r="BY27" s="177">
        <v>24</v>
      </c>
      <c r="CA27" s="177">
        <v>24</v>
      </c>
      <c r="CB27" s="177">
        <v>7.62</v>
      </c>
      <c r="CD27" s="177">
        <v>2.2000000000000002</v>
      </c>
      <c r="CE27" s="177">
        <v>3.8</v>
      </c>
      <c r="CF27" s="177">
        <v>1.85</v>
      </c>
      <c r="CG27" s="177">
        <v>1.6</v>
      </c>
    </row>
    <row r="28" spans="1:85">
      <c r="A28" s="455"/>
      <c r="B28" s="154">
        <v>43152</v>
      </c>
      <c r="C28" s="157">
        <v>70.94</v>
      </c>
      <c r="D28" s="197">
        <v>0.60450000000000004</v>
      </c>
      <c r="E28" s="171">
        <v>58.29</v>
      </c>
      <c r="F28" s="160">
        <v>82</v>
      </c>
      <c r="G28" s="160">
        <v>61</v>
      </c>
      <c r="H28" s="160">
        <v>22</v>
      </c>
      <c r="I28" s="160">
        <v>41</v>
      </c>
      <c r="J28" s="160">
        <v>22</v>
      </c>
      <c r="K28" s="160">
        <v>14</v>
      </c>
      <c r="L28" s="188">
        <v>0</v>
      </c>
      <c r="M28" s="188">
        <v>0</v>
      </c>
      <c r="N28" s="188">
        <v>0</v>
      </c>
      <c r="O28" s="188">
        <v>0</v>
      </c>
      <c r="P28" s="188">
        <v>19</v>
      </c>
      <c r="Q28" s="188">
        <v>22</v>
      </c>
      <c r="R28" s="189">
        <v>3670</v>
      </c>
      <c r="S28" s="163">
        <v>3599</v>
      </c>
      <c r="T28" s="163">
        <v>3599</v>
      </c>
      <c r="U28" s="164">
        <v>3279</v>
      </c>
      <c r="V28" s="164">
        <v>3379</v>
      </c>
      <c r="W28" s="160">
        <v>46</v>
      </c>
      <c r="X28" s="160">
        <v>68</v>
      </c>
      <c r="Y28" s="160">
        <v>45</v>
      </c>
      <c r="Z28" s="160">
        <v>83</v>
      </c>
      <c r="AA28" s="160">
        <v>62</v>
      </c>
      <c r="AB28" s="160">
        <v>94</v>
      </c>
      <c r="AC28" s="165">
        <f t="shared" si="0"/>
        <v>101</v>
      </c>
      <c r="AD28" s="166">
        <f>U28-T28</f>
        <v>-320</v>
      </c>
      <c r="AE28" s="160">
        <v>156</v>
      </c>
      <c r="AF28" s="167">
        <f t="shared" si="2"/>
        <v>0.90251068376068377</v>
      </c>
      <c r="AG28" s="168">
        <f t="shared" si="3"/>
        <v>152.91666666666666</v>
      </c>
      <c r="AH28" s="167">
        <f t="shared" si="4"/>
        <v>0.8934604904632153</v>
      </c>
      <c r="AI28" s="169">
        <f t="shared" si="17"/>
        <v>0.9423974219317357</v>
      </c>
      <c r="AJ28" s="170">
        <f t="shared" si="6"/>
        <v>0.9336692084241105</v>
      </c>
      <c r="AK28" s="235">
        <v>9.32</v>
      </c>
      <c r="AL28" s="239">
        <v>138.87</v>
      </c>
      <c r="AM28" s="171">
        <f t="shared" si="7"/>
        <v>1294.2684000000002</v>
      </c>
      <c r="AN28" s="235">
        <v>28.523</v>
      </c>
      <c r="AO28" s="232">
        <v>964.475097910096</v>
      </c>
      <c r="AP28" s="172">
        <f t="shared" si="8"/>
        <v>27509.723217689669</v>
      </c>
      <c r="AQ28" s="202">
        <f t="shared" si="9"/>
        <v>8784.3829270172828</v>
      </c>
      <c r="AR28" s="199">
        <f t="shared" si="10"/>
        <v>149.95833333333334</v>
      </c>
      <c r="AS28" s="13"/>
      <c r="AT28" s="159">
        <v>25</v>
      </c>
      <c r="AU28" s="174">
        <v>17</v>
      </c>
      <c r="AV28" s="174">
        <v>21</v>
      </c>
      <c r="AW28" s="159">
        <v>23</v>
      </c>
      <c r="AX28" s="174">
        <v>29</v>
      </c>
      <c r="AY28" s="159">
        <v>35</v>
      </c>
      <c r="AZ28" s="159">
        <v>1</v>
      </c>
      <c r="BA28" s="4"/>
      <c r="BB28" s="175">
        <v>1031</v>
      </c>
      <c r="BC28" s="175">
        <v>1012</v>
      </c>
      <c r="BD28" s="175">
        <v>1336</v>
      </c>
      <c r="BE28" s="175">
        <f t="shared" si="11"/>
        <v>-19</v>
      </c>
      <c r="BF28" s="175">
        <f t="shared" si="12"/>
        <v>8784.3829270172828</v>
      </c>
      <c r="BG28" s="177">
        <f t="shared" si="13"/>
        <v>55.666666666666664</v>
      </c>
      <c r="BH28" s="191">
        <v>2.16</v>
      </c>
      <c r="BI28" s="191">
        <v>2.1469999999999998</v>
      </c>
      <c r="BJ28" s="181">
        <v>27.5</v>
      </c>
      <c r="BK28" s="192">
        <v>26.93</v>
      </c>
      <c r="BL28" s="192">
        <v>21.3</v>
      </c>
      <c r="BM28" s="192">
        <v>27.99</v>
      </c>
      <c r="BN28" s="195">
        <v>992.75</v>
      </c>
      <c r="BO28" s="181">
        <v>50.1</v>
      </c>
      <c r="BP28" s="193">
        <v>0.93640000000000001</v>
      </c>
      <c r="BQ28" s="194">
        <v>95.79</v>
      </c>
      <c r="BR28" s="194">
        <v>84.36</v>
      </c>
      <c r="BS28" s="49">
        <f t="shared" si="14"/>
        <v>-11.430000000000007</v>
      </c>
      <c r="BT28" s="194">
        <v>12130</v>
      </c>
      <c r="BU28" s="194">
        <v>12055</v>
      </c>
      <c r="BV28" s="51">
        <f t="shared" si="15"/>
        <v>-75</v>
      </c>
      <c r="BW28" s="175">
        <f t="shared" si="16"/>
        <v>4.3070000000000004</v>
      </c>
      <c r="BX28" s="177">
        <v>22.116666666666671</v>
      </c>
      <c r="BY28" s="177">
        <v>22.116666666666671</v>
      </c>
      <c r="CA28" s="177">
        <v>21.77</v>
      </c>
      <c r="CB28" s="177">
        <v>9.18</v>
      </c>
      <c r="CD28" s="177">
        <v>2.2000000000000002</v>
      </c>
      <c r="CE28" s="177">
        <v>3.5</v>
      </c>
      <c r="CF28" s="177">
        <v>1.8</v>
      </c>
      <c r="CG28" s="177">
        <v>1.6</v>
      </c>
    </row>
    <row r="29" spans="1:85">
      <c r="A29" s="455"/>
      <c r="B29" s="154">
        <v>43153</v>
      </c>
      <c r="C29" s="157">
        <v>71.92</v>
      </c>
      <c r="D29" s="197">
        <v>0.61280000000000001</v>
      </c>
      <c r="E29" s="171">
        <v>59.48</v>
      </c>
      <c r="F29" s="160">
        <v>83</v>
      </c>
      <c r="G29" s="160">
        <v>63</v>
      </c>
      <c r="H29" s="160">
        <v>24</v>
      </c>
      <c r="I29" s="160">
        <v>0</v>
      </c>
      <c r="J29" s="160">
        <v>24</v>
      </c>
      <c r="K29" s="160">
        <v>0</v>
      </c>
      <c r="L29" s="188">
        <v>0</v>
      </c>
      <c r="M29" s="188">
        <v>0</v>
      </c>
      <c r="N29" s="188">
        <v>0</v>
      </c>
      <c r="O29" s="188">
        <v>0</v>
      </c>
      <c r="P29" s="188">
        <v>24</v>
      </c>
      <c r="Q29" s="188">
        <v>0</v>
      </c>
      <c r="R29" s="189">
        <v>3670</v>
      </c>
      <c r="S29" s="163">
        <v>3604</v>
      </c>
      <c r="T29" s="163">
        <v>3604</v>
      </c>
      <c r="U29" s="164">
        <v>3519</v>
      </c>
      <c r="V29" s="164">
        <v>3627</v>
      </c>
      <c r="W29" s="160">
        <v>45</v>
      </c>
      <c r="X29" s="160">
        <v>0</v>
      </c>
      <c r="Y29" s="160">
        <v>45</v>
      </c>
      <c r="Z29" s="160">
        <v>0</v>
      </c>
      <c r="AA29" s="160">
        <v>61</v>
      </c>
      <c r="AB29" s="160">
        <v>0</v>
      </c>
      <c r="AC29" s="165">
        <f t="shared" si="0"/>
        <v>108</v>
      </c>
      <c r="AD29" s="166">
        <f t="shared" si="1"/>
        <v>-85</v>
      </c>
      <c r="AE29" s="160">
        <v>154</v>
      </c>
      <c r="AF29" s="167">
        <f t="shared" si="2"/>
        <v>0.98133116883116878</v>
      </c>
      <c r="AG29" s="168">
        <f t="shared" si="3"/>
        <v>152.91666666666666</v>
      </c>
      <c r="AH29" s="167">
        <f t="shared" si="4"/>
        <v>0.95885558583106267</v>
      </c>
      <c r="AI29" s="169">
        <f t="shared" si="17"/>
        <v>1</v>
      </c>
      <c r="AJ29" s="170">
        <f>IF(U29&gt;0,(1440-((X29*W29+AT29*AU29)+(Z29*Y29+AV29*AW29)+(AA29*AB29+AX29*AY29))/(W29+Y29+AA29))/1440,"no data")</f>
        <v>1</v>
      </c>
      <c r="AK29" s="235">
        <v>10.1</v>
      </c>
      <c r="AL29" s="239">
        <v>137.12</v>
      </c>
      <c r="AM29" s="171">
        <f t="shared" si="7"/>
        <v>1384.912</v>
      </c>
      <c r="AN29" s="235">
        <v>30.302060000000001</v>
      </c>
      <c r="AO29" s="232">
        <v>963.37857814809843</v>
      </c>
      <c r="AP29" s="172">
        <f t="shared" si="8"/>
        <v>29192.355477758367</v>
      </c>
      <c r="AQ29" s="202">
        <f t="shared" si="9"/>
        <v>8689.1922357937965</v>
      </c>
      <c r="AR29" s="199">
        <f t="shared" si="10"/>
        <v>150.16666666666666</v>
      </c>
      <c r="AS29" s="13"/>
      <c r="AT29" s="159">
        <v>0</v>
      </c>
      <c r="AU29" s="174">
        <v>0</v>
      </c>
      <c r="AV29" s="174">
        <v>0</v>
      </c>
      <c r="AW29" s="159">
        <v>0</v>
      </c>
      <c r="AX29" s="174">
        <v>0</v>
      </c>
      <c r="AY29" s="159">
        <v>0</v>
      </c>
      <c r="AZ29" s="159">
        <v>0</v>
      </c>
      <c r="BA29" s="4"/>
      <c r="BB29" s="175">
        <v>1081</v>
      </c>
      <c r="BC29" s="175">
        <v>1073</v>
      </c>
      <c r="BD29" s="175">
        <v>1473</v>
      </c>
      <c r="BE29" s="175">
        <f t="shared" si="11"/>
        <v>-8</v>
      </c>
      <c r="BF29" s="175">
        <f t="shared" si="12"/>
        <v>8689.1922357937965</v>
      </c>
      <c r="BG29" s="177">
        <f t="shared" si="13"/>
        <v>61.375</v>
      </c>
      <c r="BH29" s="191">
        <v>2.415</v>
      </c>
      <c r="BI29" s="155">
        <v>2.415</v>
      </c>
      <c r="BJ29" s="181">
        <v>27.2</v>
      </c>
      <c r="BK29" s="192">
        <v>28.17</v>
      </c>
      <c r="BL29" s="195">
        <v>22.46</v>
      </c>
      <c r="BM29" s="192">
        <v>29.42</v>
      </c>
      <c r="BN29" s="192">
        <v>991.46</v>
      </c>
      <c r="BO29" s="192">
        <v>50.08</v>
      </c>
      <c r="BP29" s="193">
        <v>0.93640000000000001</v>
      </c>
      <c r="BQ29" s="194">
        <v>95.94</v>
      </c>
      <c r="BR29" s="181">
        <v>84.58</v>
      </c>
      <c r="BS29" s="49">
        <f t="shared" si="14"/>
        <v>-11.36</v>
      </c>
      <c r="BT29" s="194">
        <v>12256</v>
      </c>
      <c r="BU29" s="175">
        <v>12128</v>
      </c>
      <c r="BV29" s="51">
        <f t="shared" si="15"/>
        <v>-128</v>
      </c>
      <c r="BW29" s="175">
        <f t="shared" si="16"/>
        <v>4.83</v>
      </c>
      <c r="BX29" s="177">
        <v>24</v>
      </c>
      <c r="BY29" s="177">
        <v>24</v>
      </c>
      <c r="CA29" s="177">
        <v>24</v>
      </c>
      <c r="CB29" s="177">
        <v>6.58</v>
      </c>
      <c r="CD29" s="177">
        <v>2.1</v>
      </c>
      <c r="CE29" s="177">
        <v>3.6</v>
      </c>
      <c r="CF29" s="177">
        <v>1.65</v>
      </c>
      <c r="CG29" s="177">
        <v>1.6</v>
      </c>
    </row>
    <row r="30" spans="1:85">
      <c r="A30" s="455"/>
      <c r="B30" s="154">
        <v>43154</v>
      </c>
      <c r="C30" s="157">
        <v>69</v>
      </c>
      <c r="D30" s="197">
        <v>0.65</v>
      </c>
      <c r="E30" s="171">
        <v>59</v>
      </c>
      <c r="F30" s="160">
        <v>78</v>
      </c>
      <c r="G30" s="160">
        <v>60</v>
      </c>
      <c r="H30" s="160">
        <v>24</v>
      </c>
      <c r="I30" s="160">
        <v>0</v>
      </c>
      <c r="J30" s="160">
        <v>24</v>
      </c>
      <c r="K30" s="160">
        <v>0</v>
      </c>
      <c r="L30" s="187">
        <v>0</v>
      </c>
      <c r="M30" s="187">
        <v>0</v>
      </c>
      <c r="N30" s="187">
        <v>0</v>
      </c>
      <c r="O30" s="187">
        <v>0</v>
      </c>
      <c r="P30" s="187">
        <v>24</v>
      </c>
      <c r="Q30" s="187">
        <v>0</v>
      </c>
      <c r="R30" s="189">
        <v>3691</v>
      </c>
      <c r="S30" s="163">
        <v>3620</v>
      </c>
      <c r="T30" s="163">
        <v>3620</v>
      </c>
      <c r="U30" s="164">
        <v>3550</v>
      </c>
      <c r="V30" s="164">
        <v>3659</v>
      </c>
      <c r="W30" s="160">
        <v>45</v>
      </c>
      <c r="X30" s="160">
        <v>0</v>
      </c>
      <c r="Y30" s="160">
        <v>45</v>
      </c>
      <c r="Z30" s="160">
        <v>0</v>
      </c>
      <c r="AA30" s="160">
        <v>62</v>
      </c>
      <c r="AB30" s="160">
        <v>0</v>
      </c>
      <c r="AC30" s="165">
        <f t="shared" si="0"/>
        <v>109</v>
      </c>
      <c r="AD30" s="166">
        <f t="shared" si="1"/>
        <v>-70</v>
      </c>
      <c r="AE30" s="160">
        <v>155</v>
      </c>
      <c r="AF30" s="167">
        <f t="shared" si="2"/>
        <v>0.98360215053763445</v>
      </c>
      <c r="AG30" s="168">
        <f t="shared" si="3"/>
        <v>153.79166666666666</v>
      </c>
      <c r="AH30" s="167">
        <f t="shared" si="4"/>
        <v>0.96179897046870766</v>
      </c>
      <c r="AI30" s="169">
        <f t="shared" si="17"/>
        <v>1</v>
      </c>
      <c r="AJ30" s="170">
        <f t="shared" si="6"/>
        <v>1</v>
      </c>
      <c r="AK30" s="235">
        <v>10.039999999999999</v>
      </c>
      <c r="AL30" s="239">
        <v>135.85</v>
      </c>
      <c r="AM30" s="171">
        <f t="shared" si="7"/>
        <v>1363.9339999999997</v>
      </c>
      <c r="AN30" s="235">
        <v>30.815000000000001</v>
      </c>
      <c r="AO30" s="232">
        <v>966.56420000000003</v>
      </c>
      <c r="AP30" s="172">
        <f t="shared" si="8"/>
        <v>29784.675823000001</v>
      </c>
      <c r="AQ30" s="202">
        <f t="shared" si="9"/>
        <v>8774.2562881690137</v>
      </c>
      <c r="AR30" s="199">
        <f t="shared" si="10"/>
        <v>150.83333333333334</v>
      </c>
      <c r="AS30" s="13"/>
      <c r="AT30" s="159">
        <v>0</v>
      </c>
      <c r="AU30" s="174">
        <v>0</v>
      </c>
      <c r="AV30" s="174">
        <v>0</v>
      </c>
      <c r="AW30" s="159">
        <v>0</v>
      </c>
      <c r="AX30" s="174">
        <v>0</v>
      </c>
      <c r="AY30" s="159">
        <v>0</v>
      </c>
      <c r="AZ30" s="159">
        <v>0</v>
      </c>
      <c r="BA30" s="4"/>
      <c r="BB30" s="175">
        <v>1084</v>
      </c>
      <c r="BC30" s="175">
        <v>1081</v>
      </c>
      <c r="BD30" s="175">
        <v>1494</v>
      </c>
      <c r="BE30" s="175">
        <f t="shared" si="11"/>
        <v>-3</v>
      </c>
      <c r="BF30" s="175">
        <f t="shared" si="12"/>
        <v>8774.2562881690137</v>
      </c>
      <c r="BG30" s="177">
        <f t="shared" si="13"/>
        <v>62.25</v>
      </c>
      <c r="BH30" s="191">
        <v>2.4740000000000002</v>
      </c>
      <c r="BI30" s="155">
        <v>2.4740000000000002</v>
      </c>
      <c r="BJ30" s="181">
        <v>27.2</v>
      </c>
      <c r="BK30" s="192">
        <v>28.16</v>
      </c>
      <c r="BL30" s="192">
        <v>22.5</v>
      </c>
      <c r="BM30" s="192">
        <v>29.38</v>
      </c>
      <c r="BN30" s="192">
        <v>991.7</v>
      </c>
      <c r="BO30" s="181">
        <v>50.07</v>
      </c>
      <c r="BP30" s="193">
        <v>0.93700000000000006</v>
      </c>
      <c r="BQ30" s="194">
        <v>95.9</v>
      </c>
      <c r="BR30" s="181">
        <v>84.6</v>
      </c>
      <c r="BS30" s="49">
        <f t="shared" si="14"/>
        <v>-11.300000000000011</v>
      </c>
      <c r="BT30" s="194">
        <v>12218</v>
      </c>
      <c r="BU30" s="175">
        <v>12057</v>
      </c>
      <c r="BV30" s="51">
        <f t="shared" si="15"/>
        <v>-161</v>
      </c>
      <c r="BW30" s="175">
        <f t="shared" si="16"/>
        <v>4.9480000000000004</v>
      </c>
      <c r="BX30" s="177">
        <v>24</v>
      </c>
      <c r="BY30" s="177">
        <v>24</v>
      </c>
      <c r="CA30" s="177">
        <v>24</v>
      </c>
      <c r="CB30" s="177">
        <v>7.3</v>
      </c>
      <c r="CD30" s="177">
        <v>2.1</v>
      </c>
      <c r="CE30" s="177">
        <v>3.5</v>
      </c>
      <c r="CF30" s="177">
        <v>1.8</v>
      </c>
      <c r="CG30" s="177">
        <v>1.3</v>
      </c>
    </row>
    <row r="31" spans="1:85">
      <c r="A31" s="455"/>
      <c r="B31" s="154">
        <v>43155</v>
      </c>
      <c r="C31" s="171">
        <v>66</v>
      </c>
      <c r="D31" s="197">
        <v>0.73</v>
      </c>
      <c r="E31" s="171">
        <v>59</v>
      </c>
      <c r="F31" s="159">
        <v>74</v>
      </c>
      <c r="G31" s="159">
        <v>60</v>
      </c>
      <c r="H31" s="160">
        <v>24</v>
      </c>
      <c r="I31" s="160">
        <v>0</v>
      </c>
      <c r="J31" s="160">
        <v>24</v>
      </c>
      <c r="K31" s="160">
        <v>0</v>
      </c>
      <c r="L31" s="187">
        <v>0</v>
      </c>
      <c r="M31" s="187">
        <v>0</v>
      </c>
      <c r="N31" s="187">
        <v>0</v>
      </c>
      <c r="O31" s="187">
        <v>0</v>
      </c>
      <c r="P31" s="187">
        <v>24</v>
      </c>
      <c r="Q31" s="187">
        <v>0</v>
      </c>
      <c r="R31" s="187">
        <v>3696</v>
      </c>
      <c r="S31" s="163">
        <v>3641</v>
      </c>
      <c r="T31" s="163">
        <v>3641</v>
      </c>
      <c r="U31" s="164">
        <v>3573</v>
      </c>
      <c r="V31" s="164">
        <v>3679</v>
      </c>
      <c r="W31" s="160">
        <v>45</v>
      </c>
      <c r="X31" s="160">
        <v>0</v>
      </c>
      <c r="Y31" s="160">
        <v>45</v>
      </c>
      <c r="Z31" s="160">
        <v>0</v>
      </c>
      <c r="AA31" s="160">
        <v>63</v>
      </c>
      <c r="AB31" s="160">
        <v>0</v>
      </c>
      <c r="AC31" s="165">
        <f t="shared" si="0"/>
        <v>106</v>
      </c>
      <c r="AD31" s="166">
        <f t="shared" si="1"/>
        <v>-68</v>
      </c>
      <c r="AE31" s="160">
        <v>156</v>
      </c>
      <c r="AF31" s="167">
        <f t="shared" si="2"/>
        <v>0.98263888888888884</v>
      </c>
      <c r="AG31" s="168">
        <f t="shared" si="3"/>
        <v>154</v>
      </c>
      <c r="AH31" s="167">
        <f t="shared" si="4"/>
        <v>0.96672077922077926</v>
      </c>
      <c r="AI31" s="169">
        <f t="shared" si="17"/>
        <v>1</v>
      </c>
      <c r="AJ31" s="170">
        <f t="shared" si="6"/>
        <v>1</v>
      </c>
      <c r="AK31" s="235">
        <v>10.02</v>
      </c>
      <c r="AL31" s="239">
        <v>135.52000000000001</v>
      </c>
      <c r="AM31" s="171">
        <f t="shared" si="7"/>
        <v>1357.9104</v>
      </c>
      <c r="AN31" s="235">
        <v>30.774999999999999</v>
      </c>
      <c r="AO31" s="232">
        <v>968.20171221798194</v>
      </c>
      <c r="AP31" s="172">
        <f t="shared" si="8"/>
        <v>29796.407693508394</v>
      </c>
      <c r="AQ31" s="202">
        <f t="shared" si="9"/>
        <v>8719.3725422637544</v>
      </c>
      <c r="AR31" s="199">
        <f t="shared" si="10"/>
        <v>151.70833333333334</v>
      </c>
      <c r="AS31" s="13"/>
      <c r="AT31" s="159">
        <v>0</v>
      </c>
      <c r="AU31" s="174">
        <v>0</v>
      </c>
      <c r="AV31" s="159">
        <v>0</v>
      </c>
      <c r="AW31" s="159">
        <v>0</v>
      </c>
      <c r="AX31" s="174">
        <v>0</v>
      </c>
      <c r="AY31" s="159">
        <v>0</v>
      </c>
      <c r="AZ31" s="159">
        <v>0</v>
      </c>
      <c r="BA31" s="4"/>
      <c r="BB31" s="175">
        <v>1087</v>
      </c>
      <c r="BC31" s="175">
        <v>1088</v>
      </c>
      <c r="BD31" s="175">
        <v>1504</v>
      </c>
      <c r="BE31" s="175">
        <f t="shared" si="11"/>
        <v>1</v>
      </c>
      <c r="BF31" s="175">
        <f t="shared" si="12"/>
        <v>8719.3725422637544</v>
      </c>
      <c r="BG31" s="177">
        <f t="shared" si="13"/>
        <v>62.666666666666664</v>
      </c>
      <c r="BH31" s="191">
        <v>2.476</v>
      </c>
      <c r="BI31" s="155">
        <v>2.476</v>
      </c>
      <c r="BJ31" s="181">
        <v>27.2</v>
      </c>
      <c r="BK31" s="192">
        <v>28.23</v>
      </c>
      <c r="BL31" s="192">
        <v>22.65</v>
      </c>
      <c r="BM31" s="192">
        <v>29.35</v>
      </c>
      <c r="BN31" s="192">
        <v>994.75</v>
      </c>
      <c r="BO31" s="192">
        <v>50.1</v>
      </c>
      <c r="BP31" s="193">
        <v>0.93689999999999996</v>
      </c>
      <c r="BQ31" s="192">
        <v>95.78</v>
      </c>
      <c r="BR31" s="181">
        <v>84.76</v>
      </c>
      <c r="BS31" s="49">
        <f t="shared" si="14"/>
        <v>-11.019999999999996</v>
      </c>
      <c r="BT31" s="175">
        <v>12199</v>
      </c>
      <c r="BU31" s="175">
        <v>12015</v>
      </c>
      <c r="BV31" s="51">
        <f t="shared" si="15"/>
        <v>-184</v>
      </c>
      <c r="BW31" s="175">
        <f t="shared" si="16"/>
        <v>4.952</v>
      </c>
      <c r="BX31" s="177">
        <v>24</v>
      </c>
      <c r="BY31" s="177">
        <v>24</v>
      </c>
      <c r="CA31" s="177">
        <v>23.9</v>
      </c>
      <c r="CB31" s="177">
        <v>7.9</v>
      </c>
      <c r="CD31" s="177">
        <v>2.1</v>
      </c>
      <c r="CE31" s="177">
        <v>3.6</v>
      </c>
      <c r="CF31" s="177">
        <v>1.8</v>
      </c>
      <c r="CG31" s="177">
        <v>1.5</v>
      </c>
    </row>
    <row r="32" spans="1:85">
      <c r="A32" s="456"/>
      <c r="B32" s="154">
        <v>43156</v>
      </c>
      <c r="C32" s="157">
        <v>66</v>
      </c>
      <c r="D32" s="197">
        <v>0.69</v>
      </c>
      <c r="E32" s="171">
        <v>58</v>
      </c>
      <c r="F32" s="159">
        <v>78</v>
      </c>
      <c r="G32" s="159">
        <v>55</v>
      </c>
      <c r="H32" s="160">
        <v>24</v>
      </c>
      <c r="I32" s="160">
        <v>0</v>
      </c>
      <c r="J32" s="160">
        <v>24</v>
      </c>
      <c r="K32" s="160">
        <v>0</v>
      </c>
      <c r="L32" s="187">
        <v>0</v>
      </c>
      <c r="M32" s="187">
        <v>0</v>
      </c>
      <c r="N32" s="187">
        <v>0</v>
      </c>
      <c r="O32" s="187">
        <v>0</v>
      </c>
      <c r="P32" s="187">
        <v>2</v>
      </c>
      <c r="Q32" s="187">
        <v>24</v>
      </c>
      <c r="R32" s="187">
        <v>3697</v>
      </c>
      <c r="S32" s="163">
        <v>3307</v>
      </c>
      <c r="T32" s="163">
        <v>3275</v>
      </c>
      <c r="U32" s="164">
        <v>3212</v>
      </c>
      <c r="V32" s="164">
        <v>3306</v>
      </c>
      <c r="W32" s="160">
        <v>45</v>
      </c>
      <c r="X32" s="160">
        <v>0</v>
      </c>
      <c r="Y32" s="160">
        <v>45</v>
      </c>
      <c r="Z32" s="159">
        <v>0</v>
      </c>
      <c r="AA32" s="160">
        <v>62</v>
      </c>
      <c r="AB32" s="159">
        <v>0</v>
      </c>
      <c r="AC32" s="165">
        <f t="shared" si="0"/>
        <v>94</v>
      </c>
      <c r="AD32" s="166">
        <f t="shared" si="1"/>
        <v>-63</v>
      </c>
      <c r="AE32" s="159">
        <v>153</v>
      </c>
      <c r="AF32" s="167">
        <f t="shared" si="2"/>
        <v>0.90032679738562094</v>
      </c>
      <c r="AG32" s="168">
        <f t="shared" si="3"/>
        <v>154.04166666666666</v>
      </c>
      <c r="AH32" s="167">
        <f t="shared" si="4"/>
        <v>0.86881255071679742</v>
      </c>
      <c r="AI32" s="169">
        <f t="shared" si="17"/>
        <v>1</v>
      </c>
      <c r="AJ32" s="170">
        <f t="shared" si="6"/>
        <v>0.89934210526315783</v>
      </c>
      <c r="AK32" s="235">
        <v>10.005000000000001</v>
      </c>
      <c r="AL32" s="239">
        <v>135.59</v>
      </c>
      <c r="AM32" s="171">
        <f t="shared" si="7"/>
        <v>1356.5779500000001</v>
      </c>
      <c r="AN32" s="235">
        <v>26.815000000000001</v>
      </c>
      <c r="AO32" s="232">
        <v>969.55536962573228</v>
      </c>
      <c r="AP32" s="172">
        <f t="shared" si="8"/>
        <v>25998.627236514014</v>
      </c>
      <c r="AQ32" s="202">
        <f t="shared" si="9"/>
        <v>8516.5645038960192</v>
      </c>
      <c r="AR32" s="199">
        <f t="shared" si="10"/>
        <v>137.79166666666666</v>
      </c>
      <c r="AS32" s="13"/>
      <c r="AT32" s="159">
        <v>0</v>
      </c>
      <c r="AU32" s="174">
        <v>0</v>
      </c>
      <c r="AV32" s="174">
        <v>0</v>
      </c>
      <c r="AW32" s="159">
        <v>0</v>
      </c>
      <c r="AX32" s="174">
        <v>17</v>
      </c>
      <c r="AY32" s="159">
        <v>1296</v>
      </c>
      <c r="AZ32" s="159">
        <v>0</v>
      </c>
      <c r="BA32" s="4"/>
      <c r="BB32" s="175">
        <v>1095</v>
      </c>
      <c r="BC32" s="175">
        <v>1101</v>
      </c>
      <c r="BD32" s="175">
        <v>1110</v>
      </c>
      <c r="BE32" s="175">
        <f t="shared" si="11"/>
        <v>6</v>
      </c>
      <c r="BF32" s="175">
        <f t="shared" si="12"/>
        <v>8516.5645038960192</v>
      </c>
      <c r="BG32" s="177">
        <f t="shared" si="13"/>
        <v>46.25</v>
      </c>
      <c r="BH32" s="191">
        <v>0.248</v>
      </c>
      <c r="BI32" s="155">
        <v>0.23899999999999999</v>
      </c>
      <c r="BJ32" s="181">
        <v>27.2</v>
      </c>
      <c r="BK32" s="192">
        <v>28.37</v>
      </c>
      <c r="BL32" s="192">
        <v>22.76</v>
      </c>
      <c r="BM32" s="192">
        <v>29.34</v>
      </c>
      <c r="BN32" s="179">
        <v>999.5</v>
      </c>
      <c r="BO32" s="192">
        <v>50.11</v>
      </c>
      <c r="BP32" s="193">
        <v>0.93700000000000006</v>
      </c>
      <c r="BQ32" s="192">
        <v>95.71</v>
      </c>
      <c r="BR32" s="181">
        <v>84.7</v>
      </c>
      <c r="BS32" s="49">
        <f t="shared" si="14"/>
        <v>-11.009999999999991</v>
      </c>
      <c r="BT32" s="175">
        <v>12175</v>
      </c>
      <c r="BU32" s="175">
        <v>11944</v>
      </c>
      <c r="BV32" s="51">
        <f t="shared" si="15"/>
        <v>-231</v>
      </c>
      <c r="BW32" s="175">
        <f t="shared" si="16"/>
        <v>0.48699999999999999</v>
      </c>
      <c r="BX32" s="177">
        <v>3.8</v>
      </c>
      <c r="BY32" s="177">
        <v>3.7</v>
      </c>
      <c r="CA32" s="177">
        <v>24</v>
      </c>
      <c r="CB32" s="177">
        <v>7.1</v>
      </c>
      <c r="CD32" s="177">
        <v>2.1</v>
      </c>
      <c r="CE32" s="177">
        <v>3.5</v>
      </c>
      <c r="CF32" s="177">
        <v>1.8</v>
      </c>
      <c r="CG32" s="177">
        <v>1.5</v>
      </c>
    </row>
    <row r="33" spans="1:85">
      <c r="A33" s="451" t="s">
        <v>144</v>
      </c>
      <c r="B33" s="24">
        <v>43157</v>
      </c>
      <c r="C33" s="242">
        <v>70.5</v>
      </c>
      <c r="D33" s="26">
        <v>0.66400000000000003</v>
      </c>
      <c r="E33" s="242">
        <v>60.3</v>
      </c>
      <c r="F33" s="242">
        <v>81</v>
      </c>
      <c r="G33" s="242">
        <v>60</v>
      </c>
      <c r="H33" s="242">
        <v>24</v>
      </c>
      <c r="I33" s="242">
        <v>0</v>
      </c>
      <c r="J33" s="242">
        <v>24</v>
      </c>
      <c r="K33" s="242">
        <v>0</v>
      </c>
      <c r="L33" s="242">
        <v>0</v>
      </c>
      <c r="M33" s="242">
        <v>0</v>
      </c>
      <c r="N33" s="242">
        <v>0</v>
      </c>
      <c r="O33" s="242">
        <v>0</v>
      </c>
      <c r="P33" s="242">
        <v>18</v>
      </c>
      <c r="Q33" s="242">
        <v>56</v>
      </c>
      <c r="R33" s="242">
        <v>3668</v>
      </c>
      <c r="S33" s="242">
        <v>3637</v>
      </c>
      <c r="T33" s="242">
        <v>3530</v>
      </c>
      <c r="U33" s="242">
        <v>3477</v>
      </c>
      <c r="V33" s="242">
        <v>3583</v>
      </c>
      <c r="W33" s="242">
        <v>45</v>
      </c>
      <c r="X33" s="242">
        <v>0</v>
      </c>
      <c r="Y33" s="28">
        <v>45</v>
      </c>
      <c r="Z33" s="28">
        <v>0</v>
      </c>
      <c r="AA33" s="28">
        <v>62</v>
      </c>
      <c r="AB33" s="27">
        <v>0</v>
      </c>
      <c r="AC33" s="221">
        <f t="shared" si="0"/>
        <v>106</v>
      </c>
      <c r="AD33" s="222">
        <f t="shared" si="1"/>
        <v>-53</v>
      </c>
      <c r="AE33" s="223">
        <v>157</v>
      </c>
      <c r="AF33" s="224">
        <f t="shared" si="2"/>
        <v>0.95090233545647562</v>
      </c>
      <c r="AG33" s="225">
        <f t="shared" si="3"/>
        <v>152.83333333333334</v>
      </c>
      <c r="AH33" s="224">
        <f t="shared" si="4"/>
        <v>0.94792802617230099</v>
      </c>
      <c r="AI33" s="226">
        <f t="shared" si="17"/>
        <v>1</v>
      </c>
      <c r="AJ33" s="227">
        <f t="shared" si="6"/>
        <v>0.97916666666666663</v>
      </c>
      <c r="AK33" s="235">
        <v>10.003</v>
      </c>
      <c r="AL33" s="239">
        <v>134.38</v>
      </c>
      <c r="AM33" s="38">
        <f t="shared" si="7"/>
        <v>1344.2031400000001</v>
      </c>
      <c r="AN33" s="235">
        <v>30.155000000000001</v>
      </c>
      <c r="AO33" s="232">
        <v>966.29481006861351</v>
      </c>
      <c r="AP33" s="39">
        <f t="shared" si="8"/>
        <v>29138.61999761904</v>
      </c>
      <c r="AQ33" s="228">
        <f t="shared" si="9"/>
        <v>8766.9896858265856</v>
      </c>
      <c r="AR33" s="229">
        <f t="shared" si="10"/>
        <v>151.54166666666666</v>
      </c>
      <c r="AS33" s="13"/>
      <c r="AT33" s="27">
        <v>0</v>
      </c>
      <c r="AU33" s="40">
        <v>0</v>
      </c>
      <c r="AV33" s="40">
        <v>0</v>
      </c>
      <c r="AW33" s="27">
        <v>0</v>
      </c>
      <c r="AX33" s="40">
        <v>15</v>
      </c>
      <c r="AY33" s="27">
        <v>304</v>
      </c>
      <c r="AZ33" s="27">
        <v>0</v>
      </c>
      <c r="BA33" s="4"/>
      <c r="BB33" s="41">
        <v>1081</v>
      </c>
      <c r="BC33" s="41">
        <v>1085</v>
      </c>
      <c r="BD33" s="41">
        <v>1417</v>
      </c>
      <c r="BE33" s="41">
        <f t="shared" si="11"/>
        <v>4</v>
      </c>
      <c r="BF33" s="41">
        <f t="shared" si="12"/>
        <v>8766.9896858265856</v>
      </c>
      <c r="BG33" s="77">
        <f t="shared" si="13"/>
        <v>59.041666666666664</v>
      </c>
      <c r="BH33" s="43">
        <v>2.109</v>
      </c>
      <c r="BI33" s="44">
        <v>2.0779999999999998</v>
      </c>
      <c r="BJ33" s="45">
        <v>27.4</v>
      </c>
      <c r="BK33" s="46">
        <v>28.31</v>
      </c>
      <c r="BL33" s="45">
        <v>22.73</v>
      </c>
      <c r="BM33" s="45">
        <v>29.43</v>
      </c>
      <c r="BN33" s="47">
        <v>995.7</v>
      </c>
      <c r="BO33" s="45">
        <v>50.07</v>
      </c>
      <c r="BP33" s="48">
        <v>0.93759999999999999</v>
      </c>
      <c r="BQ33" s="66">
        <v>96</v>
      </c>
      <c r="BR33" s="45">
        <v>84.7</v>
      </c>
      <c r="BS33" s="49">
        <f t="shared" si="14"/>
        <v>-11.299999999999997</v>
      </c>
      <c r="BT33" s="41">
        <v>12625</v>
      </c>
      <c r="BU33" s="41">
        <v>12522</v>
      </c>
      <c r="BV33" s="51">
        <f t="shared" si="15"/>
        <v>-103</v>
      </c>
      <c r="BW33" s="41">
        <f t="shared" si="16"/>
        <v>4.1869999999999994</v>
      </c>
      <c r="BX33" s="42">
        <v>24</v>
      </c>
      <c r="BY33" s="42">
        <v>24</v>
      </c>
      <c r="CA33" s="42">
        <v>24</v>
      </c>
      <c r="CB33" s="42">
        <v>7.92</v>
      </c>
      <c r="CD33" s="42">
        <v>2.2000000000000002</v>
      </c>
      <c r="CE33" s="42">
        <v>3.6</v>
      </c>
      <c r="CF33" s="42">
        <v>1.8</v>
      </c>
      <c r="CG33" s="42">
        <v>1.5</v>
      </c>
    </row>
    <row r="34" spans="1:85">
      <c r="A34" s="452"/>
      <c r="B34" s="24">
        <v>43158</v>
      </c>
      <c r="C34" s="242">
        <v>73.2</v>
      </c>
      <c r="D34" s="26">
        <v>0.64</v>
      </c>
      <c r="E34" s="242">
        <v>61.9</v>
      </c>
      <c r="F34" s="242">
        <v>84</v>
      </c>
      <c r="G34" s="242">
        <v>61</v>
      </c>
      <c r="H34" s="242">
        <v>24</v>
      </c>
      <c r="I34" s="242">
        <v>0</v>
      </c>
      <c r="J34" s="242">
        <v>24</v>
      </c>
      <c r="K34" s="242">
        <v>0</v>
      </c>
      <c r="L34" s="242">
        <v>0</v>
      </c>
      <c r="M34" s="242">
        <v>0</v>
      </c>
      <c r="N34" s="242">
        <v>0</v>
      </c>
      <c r="O34" s="242">
        <v>0</v>
      </c>
      <c r="P34" s="242">
        <v>3</v>
      </c>
      <c r="Q34" s="242">
        <v>26</v>
      </c>
      <c r="R34" s="242">
        <v>3651</v>
      </c>
      <c r="S34" s="242">
        <v>3608</v>
      </c>
      <c r="T34" s="242">
        <v>3540</v>
      </c>
      <c r="U34" s="242">
        <v>3473</v>
      </c>
      <c r="V34" s="242">
        <v>3579</v>
      </c>
      <c r="W34" s="242">
        <v>45</v>
      </c>
      <c r="X34" s="242">
        <v>0</v>
      </c>
      <c r="Y34" s="28">
        <v>45</v>
      </c>
      <c r="Z34" s="28">
        <v>0</v>
      </c>
      <c r="AA34" s="28">
        <v>62</v>
      </c>
      <c r="AB34" s="27">
        <v>0</v>
      </c>
      <c r="AC34" s="221">
        <f t="shared" si="0"/>
        <v>106</v>
      </c>
      <c r="AD34" s="222">
        <f t="shared" si="1"/>
        <v>-67</v>
      </c>
      <c r="AE34" s="223">
        <v>154</v>
      </c>
      <c r="AF34" s="224">
        <f t="shared" si="2"/>
        <v>0.9683441558441559</v>
      </c>
      <c r="AG34" s="225">
        <f t="shared" si="3"/>
        <v>152.125</v>
      </c>
      <c r="AH34" s="224">
        <f t="shared" si="4"/>
        <v>0.95124623390851826</v>
      </c>
      <c r="AI34" s="226">
        <f t="shared" si="17"/>
        <v>1</v>
      </c>
      <c r="AJ34" s="227">
        <f t="shared" si="6"/>
        <v>0.98494152046783623</v>
      </c>
      <c r="AK34" s="235">
        <v>10.000999999999999</v>
      </c>
      <c r="AL34" s="239">
        <v>137.99</v>
      </c>
      <c r="AM34" s="38">
        <f t="shared" si="7"/>
        <v>1380.03799</v>
      </c>
      <c r="AN34" s="235">
        <v>30.338999999999999</v>
      </c>
      <c r="AO34" s="232">
        <v>960.87807772174438</v>
      </c>
      <c r="AP34" s="39">
        <f t="shared" si="8"/>
        <v>29152.080000000002</v>
      </c>
      <c r="AQ34" s="228">
        <f t="shared" si="9"/>
        <v>8791.2807342355318</v>
      </c>
      <c r="AR34" s="229">
        <f t="shared" si="10"/>
        <v>150.33333333333334</v>
      </c>
      <c r="AS34" s="13"/>
      <c r="AT34" s="27">
        <v>0</v>
      </c>
      <c r="AU34" s="40">
        <v>0</v>
      </c>
      <c r="AV34" s="40">
        <v>0</v>
      </c>
      <c r="AW34" s="27">
        <v>0</v>
      </c>
      <c r="AX34" s="40">
        <v>16</v>
      </c>
      <c r="AY34" s="27">
        <v>206</v>
      </c>
      <c r="AZ34" s="27">
        <v>0</v>
      </c>
      <c r="BA34" s="4"/>
      <c r="BB34" s="41">
        <v>1071</v>
      </c>
      <c r="BC34" s="41">
        <v>1068</v>
      </c>
      <c r="BD34" s="41">
        <v>1440</v>
      </c>
      <c r="BE34" s="41">
        <f t="shared" si="11"/>
        <v>-3</v>
      </c>
      <c r="BF34" s="41">
        <f t="shared" si="12"/>
        <v>8791.2807342355318</v>
      </c>
      <c r="BG34" s="77">
        <f t="shared" si="13"/>
        <v>60</v>
      </c>
      <c r="BH34" s="43">
        <v>2.3010000000000002</v>
      </c>
      <c r="BI34" s="44">
        <v>2.2949999999999999</v>
      </c>
      <c r="BJ34" s="45">
        <v>27.2</v>
      </c>
      <c r="BK34" s="45">
        <v>28.18</v>
      </c>
      <c r="BL34" s="46">
        <v>22.5</v>
      </c>
      <c r="BM34" s="45">
        <v>29.29</v>
      </c>
      <c r="BN34" s="47">
        <v>993.5</v>
      </c>
      <c r="BO34" s="45">
        <v>50.05</v>
      </c>
      <c r="BP34" s="48">
        <v>0.9375</v>
      </c>
      <c r="BQ34" s="52">
        <v>95.88</v>
      </c>
      <c r="BR34" s="45">
        <v>84.72</v>
      </c>
      <c r="BS34" s="49">
        <f t="shared" si="14"/>
        <v>-11.159999999999997</v>
      </c>
      <c r="BT34" s="41">
        <v>12368</v>
      </c>
      <c r="BU34" s="41">
        <v>12192</v>
      </c>
      <c r="BV34" s="51">
        <f t="shared" si="15"/>
        <v>-176</v>
      </c>
      <c r="BW34" s="41">
        <f t="shared" si="16"/>
        <v>4.5960000000000001</v>
      </c>
      <c r="BX34" s="42">
        <v>24</v>
      </c>
      <c r="BY34" s="42">
        <v>24</v>
      </c>
      <c r="CA34" s="42">
        <v>24</v>
      </c>
      <c r="CB34" s="42">
        <v>10.85</v>
      </c>
      <c r="CD34" s="42">
        <v>2.1</v>
      </c>
      <c r="CE34" s="42">
        <v>3.4</v>
      </c>
      <c r="CF34" s="42">
        <v>1.8</v>
      </c>
      <c r="CG34" s="42">
        <v>1.5</v>
      </c>
    </row>
    <row r="35" spans="1:85">
      <c r="A35" s="452"/>
      <c r="B35" s="24">
        <v>43159</v>
      </c>
      <c r="C35" s="242">
        <v>73.8</v>
      </c>
      <c r="D35" s="26">
        <v>0.63900000000000001</v>
      </c>
      <c r="E35" s="242">
        <v>62.3</v>
      </c>
      <c r="F35" s="242">
        <v>84</v>
      </c>
      <c r="G35" s="242">
        <v>64</v>
      </c>
      <c r="H35" s="242">
        <v>24</v>
      </c>
      <c r="I35" s="242">
        <v>0</v>
      </c>
      <c r="J35" s="242">
        <v>24</v>
      </c>
      <c r="K35" s="242">
        <v>0</v>
      </c>
      <c r="L35" s="242">
        <v>0</v>
      </c>
      <c r="M35" s="242">
        <v>0</v>
      </c>
      <c r="N35" s="242">
        <v>0</v>
      </c>
      <c r="O35" s="242">
        <v>0</v>
      </c>
      <c r="P35" s="242">
        <v>24</v>
      </c>
      <c r="Q35" s="242">
        <v>0</v>
      </c>
      <c r="R35" s="242">
        <v>3648</v>
      </c>
      <c r="S35" s="242">
        <v>3603</v>
      </c>
      <c r="T35" s="242">
        <v>3603</v>
      </c>
      <c r="U35" s="242">
        <v>3518</v>
      </c>
      <c r="V35" s="242">
        <v>3627</v>
      </c>
      <c r="W35" s="242">
        <v>44</v>
      </c>
      <c r="X35" s="242">
        <v>0</v>
      </c>
      <c r="Y35" s="28">
        <v>44</v>
      </c>
      <c r="Z35" s="28">
        <v>0</v>
      </c>
      <c r="AA35" s="28">
        <v>62</v>
      </c>
      <c r="AB35" s="27">
        <v>0</v>
      </c>
      <c r="AC35" s="221">
        <f t="shared" si="0"/>
        <v>109</v>
      </c>
      <c r="AD35" s="222">
        <f t="shared" si="1"/>
        <v>-85</v>
      </c>
      <c r="AE35" s="223">
        <v>154</v>
      </c>
      <c r="AF35" s="224">
        <f t="shared" si="2"/>
        <v>0.98133116883116878</v>
      </c>
      <c r="AG35" s="225">
        <f t="shared" si="3"/>
        <v>152</v>
      </c>
      <c r="AH35" s="224">
        <f t="shared" si="4"/>
        <v>0.96436403508771928</v>
      </c>
      <c r="AI35" s="226">
        <f t="shared" si="17"/>
        <v>1</v>
      </c>
      <c r="AJ35" s="227">
        <f t="shared" si="6"/>
        <v>1</v>
      </c>
      <c r="AK35" s="235">
        <v>9.9960000000000004</v>
      </c>
      <c r="AL35" s="239">
        <v>136.75</v>
      </c>
      <c r="AM35" s="38">
        <f t="shared" si="7"/>
        <v>1366.953</v>
      </c>
      <c r="AN35" s="235">
        <v>30.939</v>
      </c>
      <c r="AO35" s="232">
        <v>962.02379859623443</v>
      </c>
      <c r="AP35" s="39">
        <f t="shared" si="8"/>
        <v>29764.054304768895</v>
      </c>
      <c r="AQ35" s="228">
        <f t="shared" si="9"/>
        <v>8849.064043424929</v>
      </c>
      <c r="AR35" s="229">
        <f t="shared" si="10"/>
        <v>150.125</v>
      </c>
      <c r="AS35" s="13"/>
      <c r="AT35" s="27">
        <v>0</v>
      </c>
      <c r="AU35" s="40">
        <v>0</v>
      </c>
      <c r="AV35" s="40">
        <v>0</v>
      </c>
      <c r="AW35" s="27">
        <v>0</v>
      </c>
      <c r="AX35" s="40">
        <v>0</v>
      </c>
      <c r="AY35" s="27">
        <v>0</v>
      </c>
      <c r="AZ35" s="27">
        <v>0</v>
      </c>
      <c r="BA35" s="4"/>
      <c r="BB35" s="41">
        <v>1067</v>
      </c>
      <c r="BC35" s="41">
        <v>1061</v>
      </c>
      <c r="BD35" s="41">
        <v>1499</v>
      </c>
      <c r="BE35" s="41">
        <f t="shared" si="11"/>
        <v>-6</v>
      </c>
      <c r="BF35" s="41">
        <f t="shared" si="12"/>
        <v>8849.064043424929</v>
      </c>
      <c r="BG35" s="77">
        <f t="shared" si="13"/>
        <v>62.458333333333336</v>
      </c>
      <c r="BH35" s="43">
        <v>2.6</v>
      </c>
      <c r="BI35" s="44">
        <v>2.6</v>
      </c>
      <c r="BJ35" s="45">
        <v>27.2</v>
      </c>
      <c r="BK35" s="46">
        <v>28.12</v>
      </c>
      <c r="BL35" s="45">
        <v>22.49</v>
      </c>
      <c r="BM35" s="45">
        <v>28.53</v>
      </c>
      <c r="BN35" s="47">
        <v>993.5</v>
      </c>
      <c r="BO35" s="45">
        <v>50.05</v>
      </c>
      <c r="BP35" s="48">
        <v>0.93759999999999999</v>
      </c>
      <c r="BQ35" s="46">
        <v>96</v>
      </c>
      <c r="BR35" s="45">
        <v>84.66</v>
      </c>
      <c r="BS35" s="49">
        <f t="shared" si="14"/>
        <v>-11.340000000000003</v>
      </c>
      <c r="BT35" s="41">
        <v>12383</v>
      </c>
      <c r="BU35" s="41">
        <v>12221</v>
      </c>
      <c r="BV35" s="51">
        <f t="shared" si="15"/>
        <v>-162</v>
      </c>
      <c r="BW35" s="41">
        <f t="shared" si="16"/>
        <v>5.2</v>
      </c>
      <c r="BX35" s="42">
        <v>24</v>
      </c>
      <c r="BY35" s="42">
        <v>24</v>
      </c>
      <c r="CA35" s="42">
        <v>24</v>
      </c>
      <c r="CB35" s="42">
        <v>6.75</v>
      </c>
      <c r="CD35" s="42">
        <v>2.1</v>
      </c>
      <c r="CE35" s="42">
        <v>3.5</v>
      </c>
      <c r="CF35" s="42">
        <v>1.8</v>
      </c>
      <c r="CG35" s="42">
        <v>1.5</v>
      </c>
    </row>
    <row r="36" spans="1:85">
      <c r="A36" s="452"/>
      <c r="B36" s="24">
        <v>43160</v>
      </c>
      <c r="C36" s="25"/>
      <c r="D36" s="36"/>
      <c r="E36" s="38"/>
      <c r="F36" s="242"/>
      <c r="G36" s="27"/>
      <c r="H36" s="27"/>
      <c r="I36" s="27"/>
      <c r="J36" s="27"/>
      <c r="K36" s="27"/>
      <c r="L36" s="29"/>
      <c r="M36" s="29"/>
      <c r="N36" s="29"/>
      <c r="O36" s="29"/>
      <c r="P36" s="29"/>
      <c r="Q36" s="29"/>
      <c r="R36" s="29"/>
      <c r="S36" s="30"/>
      <c r="T36" s="30"/>
      <c r="U36" s="31"/>
      <c r="V36" s="31"/>
      <c r="W36" s="27"/>
      <c r="X36" s="27"/>
      <c r="Y36" s="28"/>
      <c r="Z36" s="28"/>
      <c r="AA36" s="28"/>
      <c r="AB36" s="27"/>
      <c r="AC36" s="221">
        <f t="shared" si="0"/>
        <v>0</v>
      </c>
      <c r="AD36" s="222">
        <f t="shared" si="1"/>
        <v>0</v>
      </c>
      <c r="AE36" s="223"/>
      <c r="AF36" s="224" t="str">
        <f t="shared" si="2"/>
        <v>no data</v>
      </c>
      <c r="AG36" s="225" t="str">
        <f t="shared" si="3"/>
        <v>no data</v>
      </c>
      <c r="AH36" s="224" t="str">
        <f t="shared" si="4"/>
        <v>no data</v>
      </c>
      <c r="AI36" s="226" t="str">
        <f t="shared" si="17"/>
        <v>no data</v>
      </c>
      <c r="AJ36" s="227" t="str">
        <f t="shared" si="6"/>
        <v>no data</v>
      </c>
      <c r="AK36" s="44"/>
      <c r="AL36" s="38"/>
      <c r="AM36" s="38">
        <f t="shared" si="7"/>
        <v>0</v>
      </c>
      <c r="AN36" s="44"/>
      <c r="AO36" s="27"/>
      <c r="AP36" s="39">
        <f t="shared" si="8"/>
        <v>0</v>
      </c>
      <c r="AQ36" s="201" t="str">
        <f t="shared" si="9"/>
        <v>no data</v>
      </c>
      <c r="AR36" s="198"/>
      <c r="AS36" s="13"/>
      <c r="AT36" s="27"/>
      <c r="AU36" s="40"/>
      <c r="AV36" s="40"/>
      <c r="AW36" s="27"/>
      <c r="AX36" s="40"/>
      <c r="AY36" s="27"/>
      <c r="AZ36" s="27"/>
      <c r="BA36" s="4"/>
      <c r="BB36" s="41"/>
      <c r="BC36" s="41"/>
      <c r="BD36" s="41"/>
      <c r="BE36" s="41">
        <f t="shared" si="11"/>
        <v>0</v>
      </c>
      <c r="BF36" s="41" t="str">
        <f t="shared" si="12"/>
        <v>no data</v>
      </c>
      <c r="BG36" s="77">
        <f t="shared" si="13"/>
        <v>0</v>
      </c>
      <c r="BH36" s="43"/>
      <c r="BI36" s="44"/>
      <c r="BJ36" s="45"/>
      <c r="BK36" s="46"/>
      <c r="BL36" s="45"/>
      <c r="BM36" s="45"/>
      <c r="BN36" s="47"/>
      <c r="BO36" s="45"/>
      <c r="BP36" s="53"/>
      <c r="BQ36" s="45"/>
      <c r="BR36" s="45"/>
      <c r="BS36" s="49">
        <f t="shared" si="14"/>
        <v>0</v>
      </c>
      <c r="BT36" s="41"/>
      <c r="BU36" s="41"/>
      <c r="BV36" s="51">
        <f t="shared" si="15"/>
        <v>0</v>
      </c>
      <c r="BW36" s="41">
        <f t="shared" si="16"/>
        <v>0</v>
      </c>
      <c r="BX36" s="42"/>
      <c r="BY36" s="42"/>
      <c r="CA36" s="42"/>
      <c r="CB36" s="42"/>
      <c r="CD36" s="42"/>
      <c r="CE36" s="42"/>
      <c r="CF36" s="42"/>
      <c r="CG36" s="42"/>
    </row>
    <row r="37" spans="1:85">
      <c r="A37" s="452"/>
      <c r="B37" s="24">
        <v>43161</v>
      </c>
      <c r="C37" s="25"/>
      <c r="D37" s="26"/>
      <c r="E37" s="38"/>
      <c r="F37" s="243"/>
      <c r="G37" s="27"/>
      <c r="H37" s="28"/>
      <c r="I37" s="28"/>
      <c r="J37" s="28"/>
      <c r="K37" s="28"/>
      <c r="L37" s="29"/>
      <c r="M37" s="29"/>
      <c r="N37" s="29"/>
      <c r="O37" s="29"/>
      <c r="P37" s="29"/>
      <c r="Q37" s="29"/>
      <c r="R37" s="29"/>
      <c r="S37" s="30"/>
      <c r="T37" s="30"/>
      <c r="U37" s="31"/>
      <c r="V37" s="31"/>
      <c r="W37" s="28"/>
      <c r="X37" s="28"/>
      <c r="Y37" s="28"/>
      <c r="Z37" s="28"/>
      <c r="AA37" s="28"/>
      <c r="AB37" s="27"/>
      <c r="AC37" s="221">
        <f t="shared" si="0"/>
        <v>0</v>
      </c>
      <c r="AD37" s="222">
        <f t="shared" si="1"/>
        <v>0</v>
      </c>
      <c r="AE37" s="223"/>
      <c r="AF37" s="224" t="str">
        <f t="shared" si="2"/>
        <v>no data</v>
      </c>
      <c r="AG37" s="225" t="str">
        <f t="shared" si="3"/>
        <v>no data</v>
      </c>
      <c r="AH37" s="224" t="str">
        <f t="shared" si="4"/>
        <v>no data</v>
      </c>
      <c r="AI37" s="226" t="str">
        <f t="shared" si="17"/>
        <v>no data</v>
      </c>
      <c r="AJ37" s="227" t="str">
        <f t="shared" si="6"/>
        <v>no data</v>
      </c>
      <c r="AK37" s="44"/>
      <c r="AL37" s="38"/>
      <c r="AM37" s="38">
        <f t="shared" si="7"/>
        <v>0</v>
      </c>
      <c r="AN37" s="44"/>
      <c r="AO37" s="27"/>
      <c r="AP37" s="39">
        <f t="shared" si="8"/>
        <v>0</v>
      </c>
      <c r="AQ37" s="201" t="str">
        <f t="shared" si="9"/>
        <v>no data</v>
      </c>
      <c r="AR37" s="198"/>
      <c r="AS37" s="13"/>
      <c r="AT37" s="27"/>
      <c r="AU37" s="40"/>
      <c r="AV37" s="40"/>
      <c r="AW37" s="27"/>
      <c r="AX37" s="40"/>
      <c r="AY37" s="27"/>
      <c r="AZ37" s="27"/>
      <c r="BA37" s="4"/>
      <c r="BB37" s="41"/>
      <c r="BC37" s="41"/>
      <c r="BD37" s="41"/>
      <c r="BE37" s="41">
        <f t="shared" si="11"/>
        <v>0</v>
      </c>
      <c r="BF37" s="41" t="str">
        <f t="shared" si="12"/>
        <v>no data</v>
      </c>
      <c r="BG37" s="77">
        <f t="shared" si="13"/>
        <v>0</v>
      </c>
      <c r="BH37" s="43"/>
      <c r="BI37" s="44"/>
      <c r="BJ37" s="45"/>
      <c r="BK37" s="46"/>
      <c r="BL37" s="47"/>
      <c r="BM37" s="47"/>
      <c r="BN37" s="47"/>
      <c r="BO37" s="45"/>
      <c r="BP37" s="48"/>
      <c r="BQ37" s="42"/>
      <c r="BR37" s="42"/>
      <c r="BS37" s="49">
        <f t="shared" si="14"/>
        <v>0</v>
      </c>
      <c r="BT37" s="41"/>
      <c r="BU37" s="41"/>
      <c r="BV37" s="51">
        <f t="shared" si="15"/>
        <v>0</v>
      </c>
      <c r="BW37" s="41">
        <f t="shared" si="16"/>
        <v>0</v>
      </c>
      <c r="BX37" s="42"/>
      <c r="BY37" s="42"/>
      <c r="CA37" s="42"/>
      <c r="CB37" s="42"/>
      <c r="CD37" s="42"/>
      <c r="CE37" s="42"/>
      <c r="CF37" s="42"/>
      <c r="CG37" s="42"/>
    </row>
    <row r="38" spans="1:85">
      <c r="A38" s="452"/>
      <c r="B38" s="24">
        <v>43162</v>
      </c>
      <c r="C38" s="25"/>
      <c r="D38" s="26"/>
      <c r="E38" s="38"/>
      <c r="F38" s="242"/>
      <c r="G38" s="27"/>
      <c r="H38" s="28"/>
      <c r="I38" s="28"/>
      <c r="J38" s="28"/>
      <c r="K38" s="28"/>
      <c r="L38" s="29"/>
      <c r="M38" s="29"/>
      <c r="N38" s="29"/>
      <c r="O38" s="29"/>
      <c r="P38" s="29"/>
      <c r="Q38" s="29"/>
      <c r="R38" s="29"/>
      <c r="S38" s="30"/>
      <c r="T38" s="30"/>
      <c r="U38" s="31"/>
      <c r="V38" s="31"/>
      <c r="W38" s="28"/>
      <c r="X38" s="28"/>
      <c r="Y38" s="28"/>
      <c r="Z38" s="28"/>
      <c r="AA38" s="28"/>
      <c r="AB38" s="27"/>
      <c r="AC38" s="32">
        <f t="shared" si="0"/>
        <v>0</v>
      </c>
      <c r="AD38" s="33">
        <f t="shared" si="1"/>
        <v>0</v>
      </c>
      <c r="AE38" s="27"/>
      <c r="AF38" s="34" t="str">
        <f t="shared" si="2"/>
        <v>no data</v>
      </c>
      <c r="AG38" s="35" t="str">
        <f t="shared" si="3"/>
        <v>no data</v>
      </c>
      <c r="AH38" s="34" t="str">
        <f t="shared" si="4"/>
        <v>no data</v>
      </c>
      <c r="AI38" s="226" t="str">
        <f t="shared" si="17"/>
        <v>no data</v>
      </c>
      <c r="AJ38" s="37" t="str">
        <f t="shared" si="6"/>
        <v>no data</v>
      </c>
      <c r="AK38" s="44"/>
      <c r="AL38" s="38"/>
      <c r="AM38" s="38">
        <f t="shared" si="7"/>
        <v>0</v>
      </c>
      <c r="AN38" s="44"/>
      <c r="AO38" s="27"/>
      <c r="AP38" s="39">
        <f t="shared" si="8"/>
        <v>0</v>
      </c>
      <c r="AQ38" s="201" t="str">
        <f t="shared" si="9"/>
        <v>no data</v>
      </c>
      <c r="AR38" s="198"/>
      <c r="AS38" s="13"/>
      <c r="AT38" s="27"/>
      <c r="AU38" s="40"/>
      <c r="AV38" s="40"/>
      <c r="AW38" s="27"/>
      <c r="AX38" s="40"/>
      <c r="AY38" s="27"/>
      <c r="AZ38" s="27"/>
      <c r="BA38" s="4"/>
      <c r="BB38" s="41"/>
      <c r="BC38" s="41"/>
      <c r="BD38" s="41"/>
      <c r="BE38" s="41">
        <f t="shared" si="11"/>
        <v>0</v>
      </c>
      <c r="BF38" s="41" t="str">
        <f t="shared" si="12"/>
        <v>no data</v>
      </c>
      <c r="BG38" s="77">
        <f t="shared" si="13"/>
        <v>0</v>
      </c>
      <c r="BH38" s="43"/>
      <c r="BI38" s="44"/>
      <c r="BJ38" s="45"/>
      <c r="BK38" s="46"/>
      <c r="BL38" s="47"/>
      <c r="BM38" s="47"/>
      <c r="BN38" s="47"/>
      <c r="BO38" s="45"/>
      <c r="BP38" s="48"/>
      <c r="BQ38" s="42"/>
      <c r="BR38" s="42"/>
      <c r="BS38" s="49">
        <f t="shared" si="14"/>
        <v>0</v>
      </c>
      <c r="BT38" s="41"/>
      <c r="BU38" s="41"/>
      <c r="BV38" s="51">
        <f t="shared" si="15"/>
        <v>0</v>
      </c>
      <c r="BW38" s="41">
        <f t="shared" si="16"/>
        <v>0</v>
      </c>
      <c r="BX38" s="41"/>
      <c r="BY38" s="41"/>
      <c r="CA38" s="41"/>
      <c r="CB38" s="41"/>
      <c r="CD38" s="41"/>
      <c r="CE38" s="41"/>
      <c r="CF38" s="41"/>
      <c r="CG38" s="41"/>
    </row>
    <row r="39" spans="1:85">
      <c r="A39" s="453"/>
      <c r="B39" s="24">
        <v>43163</v>
      </c>
      <c r="C39" s="25"/>
      <c r="D39" s="26"/>
      <c r="E39" s="38"/>
      <c r="F39" s="27"/>
      <c r="G39" s="27"/>
      <c r="H39" s="28"/>
      <c r="I39" s="28"/>
      <c r="J39" s="28"/>
      <c r="K39" s="28"/>
      <c r="L39" s="29"/>
      <c r="M39" s="29"/>
      <c r="N39" s="29"/>
      <c r="O39" s="29"/>
      <c r="P39" s="29"/>
      <c r="Q39" s="29"/>
      <c r="R39" s="29"/>
      <c r="S39" s="30"/>
      <c r="T39" s="30"/>
      <c r="U39" s="31"/>
      <c r="V39" s="31"/>
      <c r="W39" s="28"/>
      <c r="X39" s="28"/>
      <c r="Y39" s="28"/>
      <c r="Z39" s="28"/>
      <c r="AA39" s="28"/>
      <c r="AB39" s="27"/>
      <c r="AC39" s="32">
        <f t="shared" si="0"/>
        <v>0</v>
      </c>
      <c r="AD39" s="33">
        <f t="shared" si="1"/>
        <v>0</v>
      </c>
      <c r="AE39" s="27"/>
      <c r="AF39" s="34" t="str">
        <f t="shared" si="2"/>
        <v>no data</v>
      </c>
      <c r="AG39" s="35" t="str">
        <f t="shared" si="3"/>
        <v>no data</v>
      </c>
      <c r="AH39" s="34" t="str">
        <f t="shared" si="4"/>
        <v>no data</v>
      </c>
      <c r="AI39" s="226" t="str">
        <f t="shared" si="17"/>
        <v>no data</v>
      </c>
      <c r="AJ39" s="37" t="str">
        <f t="shared" si="6"/>
        <v>no data</v>
      </c>
      <c r="AK39" s="44"/>
      <c r="AL39" s="38"/>
      <c r="AM39" s="38">
        <f t="shared" si="7"/>
        <v>0</v>
      </c>
      <c r="AN39" s="44"/>
      <c r="AO39" s="27"/>
      <c r="AP39" s="39">
        <f t="shared" si="8"/>
        <v>0</v>
      </c>
      <c r="AQ39" s="201" t="str">
        <f t="shared" si="9"/>
        <v>no data</v>
      </c>
      <c r="AR39" s="198"/>
      <c r="AS39" s="13"/>
      <c r="AT39" s="27"/>
      <c r="AU39" s="40"/>
      <c r="AV39" s="40"/>
      <c r="AW39" s="27"/>
      <c r="AX39" s="40"/>
      <c r="AY39" s="27"/>
      <c r="AZ39" s="27"/>
      <c r="BA39" s="4"/>
      <c r="BB39" s="41"/>
      <c r="BC39" s="41"/>
      <c r="BD39" s="41"/>
      <c r="BE39" s="41">
        <f t="shared" si="11"/>
        <v>0</v>
      </c>
      <c r="BF39" s="41" t="str">
        <f t="shared" si="12"/>
        <v>no data</v>
      </c>
      <c r="BG39" s="77">
        <f t="shared" si="13"/>
        <v>0</v>
      </c>
      <c r="BH39" s="43"/>
      <c r="BI39" s="44"/>
      <c r="BJ39" s="45"/>
      <c r="BK39" s="46"/>
      <c r="BL39" s="47"/>
      <c r="BM39" s="47"/>
      <c r="BN39" s="47"/>
      <c r="BO39" s="45"/>
      <c r="BP39" s="48"/>
      <c r="BQ39" s="42"/>
      <c r="BR39" s="42"/>
      <c r="BS39" s="49">
        <f t="shared" si="14"/>
        <v>0</v>
      </c>
      <c r="BT39" s="41"/>
      <c r="BU39" s="41"/>
      <c r="BV39" s="51">
        <f t="shared" si="15"/>
        <v>0</v>
      </c>
      <c r="BW39" s="41">
        <f t="shared" si="16"/>
        <v>0</v>
      </c>
      <c r="BX39" s="78"/>
      <c r="BY39" s="78"/>
      <c r="CA39" s="78"/>
      <c r="CB39" s="78"/>
      <c r="CD39" s="78"/>
      <c r="CE39" s="78"/>
      <c r="CF39" s="78"/>
      <c r="CG39" s="78"/>
    </row>
    <row r="40" spans="1:85">
      <c r="A40" s="79"/>
      <c r="B40" s="80" t="s">
        <v>83</v>
      </c>
      <c r="C40" s="81">
        <f>AVERAGE(C8:C35)</f>
        <v>64.226785714285725</v>
      </c>
      <c r="D40" s="82">
        <f>AVERAGE(D8:D35)</f>
        <v>0.63199642857142868</v>
      </c>
      <c r="E40" s="81">
        <f>AVERAGE(E8:E35)</f>
        <v>54.073928571428574</v>
      </c>
      <c r="F40" s="81">
        <f>AVERAGE(F8:F35)</f>
        <v>75.464285714285708</v>
      </c>
      <c r="G40" s="81">
        <f>AVERAGE(G8:G35)</f>
        <v>53.892857142857146</v>
      </c>
      <c r="H40" s="81">
        <f>SUM(H8:H35)+(INT(SUM(I8:I35)/60))</f>
        <v>648</v>
      </c>
      <c r="I40" s="81">
        <f>SUM(I8:I35)-(INT(SUM(I8:I35)/60)*60)</f>
        <v>55</v>
      </c>
      <c r="J40" s="81">
        <f>SUM(J8:J35)+(INT(SUM(K8:K35)/60))</f>
        <v>649</v>
      </c>
      <c r="K40" s="81">
        <f t="shared" ref="K40:Q40" si="18">SUM(K8:K35)-(INT(SUM(K8:K35)/60)*60)</f>
        <v>55</v>
      </c>
      <c r="L40" s="81">
        <f t="shared" si="18"/>
        <v>0</v>
      </c>
      <c r="M40" s="81">
        <f t="shared" si="18"/>
        <v>0</v>
      </c>
      <c r="N40" s="81">
        <f t="shared" si="18"/>
        <v>0</v>
      </c>
      <c r="O40" s="81">
        <f t="shared" si="18"/>
        <v>0</v>
      </c>
      <c r="P40" s="81">
        <f t="shared" si="18"/>
        <v>45</v>
      </c>
      <c r="Q40" s="81">
        <f t="shared" si="18"/>
        <v>52</v>
      </c>
      <c r="R40" s="83">
        <f>SUM(R8:R35)</f>
        <v>103494</v>
      </c>
      <c r="S40" s="83">
        <f>SUM(S8:S35)</f>
        <v>99636</v>
      </c>
      <c r="T40" s="83">
        <f>SUM(T8:T35)</f>
        <v>98409</v>
      </c>
      <c r="U40" s="196">
        <v>96624.53</v>
      </c>
      <c r="V40" s="83">
        <f>SUM(V8:V35)</f>
        <v>99304</v>
      </c>
      <c r="W40" s="85">
        <f>AVERAGE(W8:W35)</f>
        <v>45.178571428571431</v>
      </c>
      <c r="X40" s="85">
        <f>SUM(X8:X35)</f>
        <v>849</v>
      </c>
      <c r="Y40" s="85">
        <f>AVERAGE(Y8:Y35)</f>
        <v>46.5</v>
      </c>
      <c r="Z40" s="85">
        <f>SUM(Z8:Z35)</f>
        <v>748</v>
      </c>
      <c r="AA40" s="85">
        <f>AVERAGE(AA8:AA35)</f>
        <v>61.75</v>
      </c>
      <c r="AB40" s="85">
        <f>SUM(AB8:AB35)</f>
        <v>94</v>
      </c>
      <c r="AC40" s="86">
        <f>V40-U40+AZ40</f>
        <v>2680.4700000000012</v>
      </c>
      <c r="AD40" s="87">
        <f>(SUM($AD$8:$AD$35))</f>
        <v>-1976</v>
      </c>
      <c r="AE40" s="87">
        <f>AVERAGE(AE8:AE35)</f>
        <v>153.71428571428572</v>
      </c>
      <c r="AF40" s="88">
        <f>AVERAGE(AF8:AF35)</f>
        <v>0.95929984594399065</v>
      </c>
      <c r="AG40" s="90">
        <f>AVERAGE(AG8:AG35)</f>
        <v>154.00892857142858</v>
      </c>
      <c r="AH40" s="88">
        <f>U40/R40</f>
        <v>0.93362446132142929</v>
      </c>
      <c r="AI40" s="88">
        <f>AVERAGE(AI8:AI35)</f>
        <v>0.98736840019775074</v>
      </c>
      <c r="AJ40" s="88">
        <f>AVERAGE(AJ8:AJ35)</f>
        <v>0.96087985425499767</v>
      </c>
      <c r="AK40" s="89">
        <f>SUM(AK8:AK35)</f>
        <v>284.46299999999997</v>
      </c>
      <c r="AL40" s="89">
        <f>AVERAGE(AL8:AL35)</f>
        <v>136.61857142857141</v>
      </c>
      <c r="AM40" s="89">
        <f>SUM(AM8:AM35)</f>
        <v>38833.517689999993</v>
      </c>
      <c r="AN40" s="89">
        <f>SUM(AN8:AN35)</f>
        <v>827.97039389999998</v>
      </c>
      <c r="AO40" s="87">
        <f>AVERAGE(AO8:AO35)</f>
        <v>969.25363943581056</v>
      </c>
      <c r="AP40" s="90">
        <f>SUM(AP8:AP35)</f>
        <v>802410.70833131613</v>
      </c>
      <c r="AQ40" s="91">
        <f>((AM40+AP40))/(U40*1000)*1000000</f>
        <v>8706.3215316164133</v>
      </c>
      <c r="AR40" s="92"/>
      <c r="AS40" s="13"/>
      <c r="AT40" s="93">
        <f>SUM(AT8:AT35)</f>
        <v>94</v>
      </c>
      <c r="AU40" s="93">
        <f t="shared" ref="AU40:AZ40" si="19">SUM(AU8:AU35)</f>
        <v>542</v>
      </c>
      <c r="AV40" s="93">
        <f t="shared" si="19"/>
        <v>74</v>
      </c>
      <c r="AW40" s="93">
        <f t="shared" si="19"/>
        <v>577</v>
      </c>
      <c r="AX40" s="93">
        <f t="shared" si="19"/>
        <v>297</v>
      </c>
      <c r="AY40" s="93">
        <f t="shared" si="19"/>
        <v>7224</v>
      </c>
      <c r="AZ40" s="93">
        <f t="shared" si="19"/>
        <v>1</v>
      </c>
      <c r="BA40" s="4"/>
      <c r="BB40" s="94">
        <f>SUM(BB8:BB35)</f>
        <v>29731</v>
      </c>
      <c r="BC40" s="94">
        <f>SUM(BC8:BC35)</f>
        <v>30496</v>
      </c>
      <c r="BD40" s="94">
        <f>SUM(BD8:BD35)</f>
        <v>38977</v>
      </c>
      <c r="BE40" s="6">
        <f>(BC40-BB40)</f>
        <v>765</v>
      </c>
      <c r="BF40" s="95">
        <f t="shared" si="12"/>
        <v>8706.3215316164133</v>
      </c>
      <c r="BG40" s="95">
        <f>AVERAGE(BG8:BG35)</f>
        <v>58.001488095238095</v>
      </c>
      <c r="BH40" s="95">
        <f>SUM(BH8:BH35)</f>
        <v>55.492000000000012</v>
      </c>
      <c r="BI40" s="95">
        <f>SUM(BI8:BI35)</f>
        <v>55.415999999999997</v>
      </c>
      <c r="BJ40" s="95">
        <f>AVERAGE(BJ8:BJ35)</f>
        <v>26.45000000000001</v>
      </c>
      <c r="BK40" s="95">
        <f t="shared" ref="BK40:BR40" si="20">AVERAGE(BK8:BK35)</f>
        <v>27.30714285714285</v>
      </c>
      <c r="BL40" s="95">
        <f t="shared" si="20"/>
        <v>22.455357142857146</v>
      </c>
      <c r="BM40" s="95">
        <f t="shared" si="20"/>
        <v>29.26107142857142</v>
      </c>
      <c r="BN40" s="95">
        <f t="shared" si="20"/>
        <v>996.48142857142864</v>
      </c>
      <c r="BO40" s="95">
        <f t="shared" si="20"/>
        <v>50.086428571428549</v>
      </c>
      <c r="BP40" s="95">
        <f t="shared" si="20"/>
        <v>0.93672500000000003</v>
      </c>
      <c r="BQ40" s="95">
        <f t="shared" si="20"/>
        <v>93.155714285714296</v>
      </c>
      <c r="BR40" s="95">
        <f t="shared" si="20"/>
        <v>84.841071428571396</v>
      </c>
      <c r="BS40" s="4"/>
      <c r="BT40" s="95">
        <f>AVERAGE(BT8:BT35)</f>
        <v>12279.321428571429</v>
      </c>
      <c r="BU40" s="95">
        <f>AVERAGE(BU8:BU35)</f>
        <v>11987.678571428571</v>
      </c>
      <c r="BV40" s="6"/>
      <c r="BW40" s="97">
        <f>(SUM(BW8:BW35))</f>
        <v>110.90800000000002</v>
      </c>
      <c r="BX40" s="97">
        <f>(SUM(BX8:BX35))</f>
        <v>601.45666666666671</v>
      </c>
      <c r="BY40" s="97">
        <f>(SUM(BY8:BY35))</f>
        <v>603.93666666666672</v>
      </c>
      <c r="CA40" s="97">
        <f>(SUM(CA8:CA35))</f>
        <v>513.58999999999992</v>
      </c>
      <c r="CB40" s="97">
        <f>(SUM(CB8:CB35))</f>
        <v>183.13</v>
      </c>
      <c r="CD40" s="97"/>
      <c r="CE40" s="97"/>
      <c r="CF40" s="97"/>
      <c r="CG40" s="97"/>
    </row>
    <row r="41" spans="1:85" ht="15.75" thickBot="1">
      <c r="A41" s="98"/>
      <c r="B41" s="99" t="s">
        <v>84</v>
      </c>
      <c r="C41" s="100" t="s">
        <v>85</v>
      </c>
      <c r="D41" s="101" t="s">
        <v>86</v>
      </c>
      <c r="E41" s="101"/>
      <c r="F41" s="102" t="s">
        <v>87</v>
      </c>
      <c r="G41" s="102" t="s">
        <v>88</v>
      </c>
      <c r="H41" s="102" t="s">
        <v>75</v>
      </c>
      <c r="I41" s="102" t="s">
        <v>76</v>
      </c>
      <c r="J41" s="102" t="s">
        <v>75</v>
      </c>
      <c r="K41" s="102" t="s">
        <v>76</v>
      </c>
      <c r="L41" s="102" t="s">
        <v>75</v>
      </c>
      <c r="M41" s="102" t="s">
        <v>76</v>
      </c>
      <c r="N41" s="102" t="s">
        <v>75</v>
      </c>
      <c r="O41" s="102" t="s">
        <v>76</v>
      </c>
      <c r="P41" s="103" t="s">
        <v>89</v>
      </c>
      <c r="Q41" s="103" t="s">
        <v>90</v>
      </c>
      <c r="R41" s="103" t="s">
        <v>91</v>
      </c>
      <c r="S41" s="103" t="s">
        <v>91</v>
      </c>
      <c r="T41" s="103" t="s">
        <v>91</v>
      </c>
      <c r="U41" s="103" t="s">
        <v>91</v>
      </c>
      <c r="V41" s="103" t="s">
        <v>91</v>
      </c>
      <c r="W41" s="103" t="s">
        <v>92</v>
      </c>
      <c r="X41" s="103" t="s">
        <v>93</v>
      </c>
      <c r="Y41" s="103" t="s">
        <v>94</v>
      </c>
      <c r="Z41" s="103" t="s">
        <v>93</v>
      </c>
      <c r="AA41" s="103" t="s">
        <v>94</v>
      </c>
      <c r="AB41" s="103" t="s">
        <v>93</v>
      </c>
      <c r="AC41" s="103" t="s">
        <v>95</v>
      </c>
      <c r="AD41" s="103" t="s">
        <v>96</v>
      </c>
      <c r="AE41" s="103" t="s">
        <v>97</v>
      </c>
      <c r="AF41" s="103" t="s">
        <v>98</v>
      </c>
      <c r="AG41" s="103" t="s">
        <v>99</v>
      </c>
      <c r="AH41" s="103" t="s">
        <v>99</v>
      </c>
      <c r="AI41" s="103"/>
      <c r="AJ41" s="103" t="s">
        <v>99</v>
      </c>
      <c r="AK41" s="103" t="s">
        <v>100</v>
      </c>
      <c r="AL41" s="103" t="s">
        <v>99</v>
      </c>
      <c r="AM41" s="103"/>
      <c r="AN41" s="103" t="s">
        <v>100</v>
      </c>
      <c r="AO41" s="103" t="s">
        <v>99</v>
      </c>
      <c r="AP41" s="104"/>
      <c r="AQ41" s="105" t="s">
        <v>99</v>
      </c>
      <c r="AR41" s="106"/>
      <c r="AS41" s="107"/>
      <c r="AZ41" s="108" t="s">
        <v>100</v>
      </c>
      <c r="BA41" s="4"/>
      <c r="BF41" s="109" t="str">
        <f t="shared" si="12"/>
        <v>Avg.</v>
      </c>
      <c r="BS41" s="4"/>
      <c r="BT41" s="5"/>
      <c r="BU41" s="5"/>
      <c r="BV41" s="6"/>
      <c r="BY41" s="248"/>
    </row>
    <row r="42" spans="1:85" ht="15.75" thickBot="1">
      <c r="B42" s="110"/>
      <c r="C42" s="110"/>
      <c r="D42" s="110"/>
      <c r="E42" s="110"/>
      <c r="F42" s="110"/>
      <c r="G42" s="110"/>
      <c r="H42" s="110"/>
      <c r="I42" s="110"/>
      <c r="J42" s="110"/>
      <c r="K42" s="110"/>
      <c r="L42" s="110"/>
      <c r="M42" s="110"/>
      <c r="N42" s="110"/>
      <c r="O42" s="110"/>
      <c r="P42" s="110"/>
      <c r="Q42" s="110"/>
      <c r="R42" s="110"/>
      <c r="S42" s="110"/>
      <c r="T42" s="110"/>
      <c r="U42" s="247"/>
      <c r="V42" s="110"/>
      <c r="W42" s="110"/>
      <c r="X42" s="110"/>
      <c r="Y42" s="110"/>
      <c r="Z42" s="110"/>
      <c r="AA42" s="110"/>
      <c r="AB42" s="110"/>
      <c r="AC42" s="110"/>
      <c r="AD42" s="110"/>
      <c r="AE42" s="110"/>
      <c r="AF42" s="110"/>
      <c r="AG42" s="110"/>
      <c r="AH42" s="110"/>
      <c r="AI42" s="110"/>
      <c r="AJ42" s="110"/>
      <c r="AK42" s="110"/>
      <c r="AL42" s="110"/>
      <c r="AM42" s="111"/>
      <c r="AQ42" s="112"/>
      <c r="AR42" s="112"/>
      <c r="AS42" s="4"/>
      <c r="BA42" s="113"/>
      <c r="BB42" s="114"/>
      <c r="BC42" s="114"/>
      <c r="BD42" s="114"/>
      <c r="BE42" s="6"/>
      <c r="BS42" s="4"/>
      <c r="BT42" s="5"/>
      <c r="BU42" s="5"/>
      <c r="BV42" s="6"/>
    </row>
    <row r="43" spans="1:85" ht="60.75" thickBot="1">
      <c r="B43" s="115" t="s">
        <v>101</v>
      </c>
      <c r="C43" s="116" t="s">
        <v>102</v>
      </c>
      <c r="D43" s="116" t="s">
        <v>103</v>
      </c>
      <c r="E43" s="220"/>
      <c r="F43" s="428" t="s">
        <v>104</v>
      </c>
      <c r="G43" s="429"/>
      <c r="H43" s="428" t="s">
        <v>105</v>
      </c>
      <c r="I43" s="429"/>
      <c r="J43" s="428" t="s">
        <v>106</v>
      </c>
      <c r="K43" s="429"/>
      <c r="L43" s="428" t="s">
        <v>107</v>
      </c>
      <c r="M43" s="429"/>
      <c r="N43" s="428" t="s">
        <v>108</v>
      </c>
      <c r="O43" s="429"/>
      <c r="P43" s="428" t="s">
        <v>109</v>
      </c>
      <c r="Q43" s="429"/>
      <c r="R43" s="117" t="s">
        <v>110</v>
      </c>
      <c r="S43" s="118" t="s">
        <v>111</v>
      </c>
      <c r="T43" s="119" t="s">
        <v>112</v>
      </c>
      <c r="U43" s="116" t="s">
        <v>11</v>
      </c>
      <c r="V43" s="119" t="s">
        <v>12</v>
      </c>
      <c r="W43" s="116" t="s">
        <v>113</v>
      </c>
      <c r="X43" s="116" t="s">
        <v>14</v>
      </c>
      <c r="Y43" s="116" t="s">
        <v>114</v>
      </c>
      <c r="Z43" s="116" t="s">
        <v>16</v>
      </c>
      <c r="AA43" s="116" t="s">
        <v>18</v>
      </c>
      <c r="AB43" s="116" t="s">
        <v>17</v>
      </c>
      <c r="AC43" s="118" t="s">
        <v>19</v>
      </c>
      <c r="AD43" s="120" t="s">
        <v>20</v>
      </c>
      <c r="AE43" s="121" t="s">
        <v>21</v>
      </c>
      <c r="AF43" s="121" t="s">
        <v>22</v>
      </c>
      <c r="AG43" s="121" t="s">
        <v>115</v>
      </c>
      <c r="AH43" s="122" t="s">
        <v>116</v>
      </c>
      <c r="AI43" s="122" t="s">
        <v>25</v>
      </c>
      <c r="AJ43" s="123" t="s">
        <v>26</v>
      </c>
      <c r="AK43" s="119" t="s">
        <v>117</v>
      </c>
      <c r="AL43" s="124" t="s">
        <v>28</v>
      </c>
      <c r="AM43" s="124" t="s">
        <v>29</v>
      </c>
      <c r="AN43" s="119" t="s">
        <v>118</v>
      </c>
      <c r="AO43" s="124" t="s">
        <v>119</v>
      </c>
      <c r="AP43" s="124" t="s">
        <v>32</v>
      </c>
      <c r="AQ43" s="123" t="s">
        <v>120</v>
      </c>
      <c r="AR43" s="125"/>
      <c r="AS43" s="125"/>
      <c r="BA43" s="113"/>
      <c r="BB43" s="114"/>
      <c r="BC43" s="114"/>
      <c r="BD43" s="114"/>
      <c r="BE43" s="126">
        <f>AVERAGE(BE27:BE30)</f>
        <v>-10</v>
      </c>
      <c r="BS43" s="4"/>
      <c r="BT43" s="5"/>
      <c r="BU43" s="5"/>
      <c r="BV43" s="6"/>
    </row>
    <row r="44" spans="1:85">
      <c r="B44" s="127" t="s">
        <v>82</v>
      </c>
      <c r="C44" s="128">
        <f>IF(C5=0,"no data",AVERAGE(C5:C11))</f>
        <v>61.128571428571426</v>
      </c>
      <c r="D44" s="128">
        <f>IF(D5=0,"no data",AVERAGE(D5:D11))*100</f>
        <v>57.20428571428571</v>
      </c>
      <c r="E44" s="128">
        <f>IF(E5=0,"no data",AVERAGE(E5:E11))</f>
        <v>49.472857142857144</v>
      </c>
      <c r="F44" s="128">
        <f>IF(F5=0,"no data",AVERAGE(F5:F11))</f>
        <v>74.142857142857139</v>
      </c>
      <c r="G44" s="128">
        <f>IF(G5=0,"no data",AVERAGE(G5:G11))</f>
        <v>49.857142857142854</v>
      </c>
      <c r="H44" s="128">
        <f>SUM(H5:H11)+INT(SUM(I5:I11)/60)</f>
        <v>156</v>
      </c>
      <c r="I44" s="128">
        <f>SUM(I5:I11)-INT(SUM(I5:I11)/60)*60</f>
        <v>17</v>
      </c>
      <c r="J44" s="128">
        <f>SUM(J5:J11)+INT(SUM(K5:K11)/60)</f>
        <v>155</v>
      </c>
      <c r="K44" s="128">
        <f>SUM(K5:K11)-INT(SUM(K5:K11)/60)*60</f>
        <v>29</v>
      </c>
      <c r="L44" s="128">
        <f>SUM(L5:L11)+INT(SUM(M5:M11)/60)</f>
        <v>0</v>
      </c>
      <c r="M44" s="128">
        <f>SUM(M5:M11)-INT(SUM(M5:M11)/60)*60</f>
        <v>0</v>
      </c>
      <c r="N44" s="128">
        <f>SUM(N5:N11)+INT(SUM(O5:O11)/60)</f>
        <v>0</v>
      </c>
      <c r="O44" s="128">
        <f>SUM(O5:O11)-INT(SUM(O5:O11)/60)*60</f>
        <v>0</v>
      </c>
      <c r="P44" s="128">
        <f>SUM(P5:P11)+INT(SUM(Q5:Q11)/60)</f>
        <v>98</v>
      </c>
      <c r="Q44" s="128">
        <f>SUM(Q5:Q11)-INT(SUM(Q5:Q11)/60)*60</f>
        <v>0</v>
      </c>
      <c r="R44" s="130">
        <f>IF(C5=0,"no data", AVERAGE(R5:R11))</f>
        <v>3708.4285714285716</v>
      </c>
      <c r="S44" s="130">
        <f>IF(D5=0,"no data", AVERAGE(S5:S11))</f>
        <v>3282.8571428571427</v>
      </c>
      <c r="T44" s="130">
        <f>IF(E5=0,"no data", AVERAGE(T5:T11))</f>
        <v>3282.8571428571427</v>
      </c>
      <c r="U44" s="139">
        <f>IF(U5=0,"no data", SUM(U5:U11))</f>
        <v>22499</v>
      </c>
      <c r="V44" s="139">
        <f>IF(V5=0,"no data", SUM(V5:V11))</f>
        <v>23202</v>
      </c>
      <c r="W44" s="131">
        <f>IF(W5=0,"no data", AVERAGE(W5:W11))</f>
        <v>44.285714285714285</v>
      </c>
      <c r="X44" s="140">
        <f>IF(AND(X5=0,X6=0,X7=0,X8=0,X9=0,X10=0,X11=0),"No outage",SUM(X5:X11))</f>
        <v>686</v>
      </c>
      <c r="Y44" s="131">
        <f>IF(Y5=0,"no data", AVERAGE(Y5:Y11))</f>
        <v>46.714285714285715</v>
      </c>
      <c r="Z44" s="140">
        <f>IF(AND(Z5=0,Z6=0,Z7=0,Z8=0,Z9=0,Z10=0,Z11=0),"No outage",SUM(Z5:Z11))</f>
        <v>665</v>
      </c>
      <c r="AA44" s="132" t="str">
        <f>IF(AND(AB5=0,AB6=0,AB7=0,AB8=0,AB9=0, AB10=0,AB11=0),"No outage",SUM(AB5:AB11))</f>
        <v>No outage</v>
      </c>
      <c r="AB44" s="132">
        <f>IF(AA5=0,"no data", AVERAGE(AA5:AA11))</f>
        <v>62.428571428571431</v>
      </c>
      <c r="AC44" s="128" t="str">
        <f>IF(Z5=0,"no data", SUM(AC5:AC11))</f>
        <v>no data</v>
      </c>
      <c r="AD44" s="128">
        <f>IF(AD5=0,"no data", SUM(AD5:AD11))</f>
        <v>-481</v>
      </c>
      <c r="AE44" s="131">
        <f t="shared" ref="AE44:AJ44" si="21">IF(AE5=0,"no data", AVERAGE(AE5:AE11))</f>
        <v>146.85714285714286</v>
      </c>
      <c r="AF44" s="133">
        <f t="shared" si="21"/>
        <v>0.93328362779558705</v>
      </c>
      <c r="AG44" s="132">
        <f t="shared" si="21"/>
        <v>154.51785714285714</v>
      </c>
      <c r="AH44" s="133">
        <f t="shared" si="21"/>
        <v>0.86668406080285754</v>
      </c>
      <c r="AI44" s="133">
        <f t="shared" si="21"/>
        <v>0.96042117604617605</v>
      </c>
      <c r="AJ44" s="133">
        <f t="shared" si="21"/>
        <v>0.89919731648640322</v>
      </c>
      <c r="AK44" s="132">
        <f>IF(AK5=0,"no data", SUM(AK5:AK11))</f>
        <v>69.275000000000006</v>
      </c>
      <c r="AL44" s="132">
        <f>IF(AL5=0,"no data", AVERAGE(AL5:AL11))</f>
        <v>136.99285714285713</v>
      </c>
      <c r="AM44" s="132">
        <f>AK44*AL44</f>
        <v>9490.1801785714288</v>
      </c>
      <c r="AN44" s="132">
        <f>IF(AN5=0,"no data", SUM(AN5:AN11))</f>
        <v>191.38016999999999</v>
      </c>
      <c r="AO44" s="132">
        <f>IF(AO5=0,"no data", AVERAGE(AO5:AO11))</f>
        <v>978.37361280537914</v>
      </c>
      <c r="AP44" s="132">
        <f>AN44*AO44</f>
        <v>187241.30834220763</v>
      </c>
      <c r="AQ44" s="134">
        <f>IF(AQ5=0,"no data", AVERAGE(AQ5:AQ11))</f>
        <v>8767.6433809081827</v>
      </c>
      <c r="AR44" s="135"/>
      <c r="AS44" s="136"/>
      <c r="BA44" s="113"/>
      <c r="BB44" s="114"/>
      <c r="BC44" s="114"/>
      <c r="BD44" s="114"/>
      <c r="BS44" s="4"/>
      <c r="BT44" s="5"/>
      <c r="BU44" s="5"/>
      <c r="BV44" s="6"/>
    </row>
    <row r="45" spans="1:85">
      <c r="B45" s="127" t="s">
        <v>141</v>
      </c>
      <c r="C45" s="137">
        <f>IF(C12=0,"no data", AVERAGE(C12:C18))</f>
        <v>59.67</v>
      </c>
      <c r="D45" s="138">
        <f>IF(D12=0,"no data", AVERAGE(D12:D18))</f>
        <v>0.59292857142857147</v>
      </c>
      <c r="E45" s="140">
        <f>IF(E12=0,"no data", AVERAGE(E12:E18))</f>
        <v>48.917142857142856</v>
      </c>
      <c r="F45" s="137">
        <f>IF(F12=0,"no data", AVERAGE(F12:F18))</f>
        <v>70.714285714285708</v>
      </c>
      <c r="G45" s="137">
        <f>IF(G12=0,"no data", AVERAGE(G12:G18))</f>
        <v>48.857142857142854</v>
      </c>
      <c r="H45" s="137">
        <f>SUM(H12:H18)+INT(SUM(I12:I18)/60)</f>
        <v>165</v>
      </c>
      <c r="I45" s="137">
        <f>SUM(I12:I18)-INT(SUM(J12:J18)/60)</f>
        <v>43</v>
      </c>
      <c r="J45" s="137">
        <f>SUM(J12:J18)+INT(SUM(K12:K18)/60)</f>
        <v>168</v>
      </c>
      <c r="K45" s="137">
        <f>SUM(K12:K18)-INT(SUM(L12:L18)/60)*60</f>
        <v>0</v>
      </c>
      <c r="L45" s="137">
        <f>SUM(L12:L18)+INT(SUM(M12:M18)/60)</f>
        <v>0</v>
      </c>
      <c r="M45" s="137">
        <f>SUM(M12:M18)-INT(SUM(N12:N18)/60)*60</f>
        <v>0</v>
      </c>
      <c r="N45" s="137">
        <f>SUM(N12:N18)+INT(SUM(O12:O18)/60)</f>
        <v>0</v>
      </c>
      <c r="O45" s="137">
        <v>0</v>
      </c>
      <c r="P45" s="137">
        <f>SUM(P12:P18)+INT(SUM(Q12:Q18)/60)</f>
        <v>162</v>
      </c>
      <c r="Q45" s="137">
        <f>SUM(Q8:Q12)-INT(SUM(Q12:Q18)/60)*60</f>
        <v>-18</v>
      </c>
      <c r="R45" s="139">
        <f>IF(R12=0,"no data", AVERAGE(R12:R18))</f>
        <v>3711</v>
      </c>
      <c r="S45" s="139">
        <f>IF(S12=0,"no data", AVERAGE(S12:S18))</f>
        <v>3665.8571428571427</v>
      </c>
      <c r="T45" s="139">
        <f>IF(T12=0,"no data", AVERAGE(T12:T18))</f>
        <v>3655.7142857142858</v>
      </c>
      <c r="U45" s="139">
        <f>IF(U12=0,"no data", SUM(U12:U18))</f>
        <v>25147</v>
      </c>
      <c r="V45" s="139">
        <f>IF(V12=0,"no data", SUM(V12:V18))</f>
        <v>25877</v>
      </c>
      <c r="W45" s="139">
        <f>IF(W12=0,"no data", AVERAGE(W12:W18))</f>
        <v>45</v>
      </c>
      <c r="X45" s="140">
        <f>IF(AND(X12=0,X13=0,X14=0,X15=0,X16=0,X17=0,X18=0),"No outage",SUM(X12:X18))</f>
        <v>95</v>
      </c>
      <c r="Y45" s="139">
        <f>IF(Y12=0,"no data", AVERAGE(Y12:Y18))</f>
        <v>48.285714285714285</v>
      </c>
      <c r="Z45" s="140" t="str">
        <f>IF(AND(Z12=0,Z13=0,Z14=0,Z15=0,Z16=0,Z17=0,Z18=0),"No outage",SUM(Z12:Z18))</f>
        <v>No outage</v>
      </c>
      <c r="AA45" s="132" t="str">
        <f>IF(AND(AB12=0,AB13=0,AB14=0,AB15=0,AB16=0, AB17=0,AB18=0),"No outage",SUM(AB12:AB18))</f>
        <v>No outage</v>
      </c>
      <c r="AB45" s="132">
        <f>IF(AA6=12,"no data", AVERAGE(AA12:AA18))</f>
        <v>61.428571428571431</v>
      </c>
      <c r="AC45" s="139">
        <f>IF(AC12=0,"no data", SUM(AC12:AC18))</f>
        <v>730</v>
      </c>
      <c r="AD45" s="139">
        <f>IF(AD12=0,"no data", SUM(AD12:AD18))</f>
        <v>-443</v>
      </c>
      <c r="AE45" s="139">
        <f t="shared" ref="AE45:AJ45" si="22">IF(AE12=0,"no data", AVERAGE(AE12:AE18))</f>
        <v>157.42857142857142</v>
      </c>
      <c r="AF45" s="141">
        <f t="shared" si="22"/>
        <v>0.97839981593493752</v>
      </c>
      <c r="AG45" s="139">
        <f t="shared" si="22"/>
        <v>154.625</v>
      </c>
      <c r="AH45" s="141">
        <f t="shared" si="22"/>
        <v>0.96803678594609666</v>
      </c>
      <c r="AI45" s="141">
        <f t="shared" si="22"/>
        <v>0.9972813644688644</v>
      </c>
      <c r="AJ45" s="141">
        <f t="shared" si="22"/>
        <v>0.99165561243523637</v>
      </c>
      <c r="AK45" s="142">
        <f>IF(AK12=0,"no data",SUM(AK12:AK18))</f>
        <v>75.14</v>
      </c>
      <c r="AL45" s="143">
        <f>IF(AL12=0,"no data", AVERAGE(AL12:AL18))</f>
        <v>136.41285714285715</v>
      </c>
      <c r="AM45" s="140">
        <f>AK45*AL45</f>
        <v>10250.062085714286</v>
      </c>
      <c r="AN45" s="140">
        <f>IF(AN12=0,"no data", SUM(AN12:AN18))</f>
        <v>214.10248899999999</v>
      </c>
      <c r="AO45" s="142">
        <f>IF(AO12=0,"no data",AVERAGE(AO12:AO18))</f>
        <v>973.72638820662064</v>
      </c>
      <c r="AP45" s="140">
        <f>AN45*AO45</f>
        <v>208477.2433200177</v>
      </c>
      <c r="AQ45" s="144">
        <f>IF(AQ12=0,"no data", AVERAGE(AQ12:AQ18))</f>
        <v>8697.4489767241867</v>
      </c>
      <c r="AR45" s="135"/>
      <c r="AS45" s="136"/>
      <c r="AX45">
        <f>3413/12465</f>
        <v>0.27380665864420378</v>
      </c>
      <c r="BA45" s="113"/>
      <c r="BC45" s="114"/>
      <c r="BS45" s="4"/>
      <c r="BT45" s="5"/>
      <c r="BU45" s="5"/>
      <c r="BV45" s="6"/>
    </row>
    <row r="46" spans="1:85">
      <c r="A46" s="145"/>
      <c r="B46" s="127" t="s">
        <v>142</v>
      </c>
      <c r="C46" s="140">
        <f>IF(C19=0,"no data", AVERAGE(C19:C25))</f>
        <v>62.017142857142858</v>
      </c>
      <c r="D46" s="138">
        <f>IF(D19=0,"no data", AVERAGE(D19:D25))</f>
        <v>0.7232857142857142</v>
      </c>
      <c r="E46" s="140">
        <f>IF(E19=0,"no data", AVERAGE(E19:E25))</f>
        <v>55.187142857142859</v>
      </c>
      <c r="F46" s="140">
        <f>IF(F19=0,"no data", AVERAGE(F19:F25))</f>
        <v>72.857142857142861</v>
      </c>
      <c r="G46" s="140">
        <f>IF(G19=0,"no data", AVERAGE(G19:G25))</f>
        <v>52.714285714285715</v>
      </c>
      <c r="H46" s="137">
        <f>SUM(H19:H25)+INT(SUM(I19:I25)/60)</f>
        <v>160</v>
      </c>
      <c r="I46" s="137">
        <f>SUM(I19:I25)-INT(SUM(I25:I25)/60)*60</f>
        <v>72</v>
      </c>
      <c r="J46" s="137">
        <f>SUM(J19:J25)+INT(SUM(K19:K25)/60)</f>
        <v>160</v>
      </c>
      <c r="K46" s="137">
        <f>SUM(K19:K25)-INT(SUM(K19:K25)/60)*60</f>
        <v>12</v>
      </c>
      <c r="L46" s="137">
        <f>SUM(L19:L25)+INT(SUM(M19:M25)/60)</f>
        <v>0</v>
      </c>
      <c r="M46" s="137">
        <f>SUM(M19:M25)-INT(SUM(M19:M25)/60)*60</f>
        <v>0</v>
      </c>
      <c r="N46" s="137">
        <f>SUM(N19:N25)+INT(SUM(O19:O25)/60)</f>
        <v>0</v>
      </c>
      <c r="O46" s="137">
        <f>SUM(O19:O25)-INT(SUM(O19:O25)/60)*60</f>
        <v>0</v>
      </c>
      <c r="P46" s="137">
        <f>SUM(P19:P25)+INT(SUM(Q19:Q25)/60)</f>
        <v>125</v>
      </c>
      <c r="Q46" s="137">
        <f>SUM(Q19:Q25)-INT(SUM(Q19:Q25)/60)*60</f>
        <v>32</v>
      </c>
      <c r="R46" s="139">
        <f>IF(R19=0,"no data", AVERAGE(R19:R25))</f>
        <v>3706.5714285714284</v>
      </c>
      <c r="S46" s="139">
        <f>IF(S19=0,"no data", AVERAGE(S19:S25))</f>
        <v>3640.8571428571427</v>
      </c>
      <c r="T46" s="139">
        <f>IF(T19=0,"no data", AVERAGE(T19:T25))</f>
        <v>3519.4285714285716</v>
      </c>
      <c r="U46" s="146">
        <f>IF(U19=0,"no data", SUM(U19:U25))</f>
        <v>24271</v>
      </c>
      <c r="V46" s="146">
        <f>IF(V19=0,"no data", SUM(V19:V25))</f>
        <v>24974</v>
      </c>
      <c r="W46" s="146">
        <f>IF(W19=0,"no data", AVERAGE(W19:W25))</f>
        <v>46</v>
      </c>
      <c r="X46" s="140" t="str">
        <f>IF(AND(X19=0,X20=0,X21=0,X22=0,X23=0,X24=0,X25=0),"No outage",SUM(X19:X25))</f>
        <v>No outage</v>
      </c>
      <c r="Y46" s="146">
        <f>IF(Y19=0,"no data", AVERAGE(Y19:Y25))</f>
        <v>46.714285714285715</v>
      </c>
      <c r="Z46" s="140" t="str">
        <f>IF(AND(Z19=0,Z20=0,Z21=0,Z22=0,Z23=0,Z24=0,Z25=0),"No outage",SUM(Z19:Z25))</f>
        <v>No outage</v>
      </c>
      <c r="AA46" s="132" t="str">
        <f>IF(AND(AB19=0,AB20=0,AB21=0,AB22=0,AB23=0, AB24=0,AB25=0),"No outage",SUM(AB19:AB25))</f>
        <v>No outage</v>
      </c>
      <c r="AB46" s="132">
        <f>IF(AA19=0,"no data", AVERAGE(AA19:AA25))</f>
        <v>61.428571428571431</v>
      </c>
      <c r="AC46" s="140">
        <f>IF(AC19=0,"no data", SUM(AC19:AC25))</f>
        <v>703</v>
      </c>
      <c r="AD46" s="146">
        <f>IF(AD19=0,"no data", SUM(AD19:AD25))</f>
        <v>-365</v>
      </c>
      <c r="AE46" s="140">
        <f t="shared" ref="AE46:AJ46" si="23">IF(AE19=0,"no data", AVERAGE(AE19:AE25))</f>
        <v>155.42857142857142</v>
      </c>
      <c r="AF46" s="141">
        <f t="shared" si="23"/>
        <v>0.95656952580910137</v>
      </c>
      <c r="AG46" s="140">
        <f t="shared" si="23"/>
        <v>154.44047619047618</v>
      </c>
      <c r="AH46" s="141">
        <f t="shared" si="23"/>
        <v>0.93540322753843141</v>
      </c>
      <c r="AI46" s="141">
        <f t="shared" si="23"/>
        <v>1</v>
      </c>
      <c r="AJ46" s="141">
        <f t="shared" si="23"/>
        <v>0.9623529369956485</v>
      </c>
      <c r="AK46" s="140">
        <f>IF(AK19=0,"no data", SUM(AK19:AK25))</f>
        <v>71.783000000000001</v>
      </c>
      <c r="AL46" s="140">
        <f>IF(AL19=0,"no data", AVERAGE(AL19:AL25))</f>
        <v>136.07142857142858</v>
      </c>
      <c r="AM46" s="140">
        <f>AK46*AL46</f>
        <v>9767.6153571428586</v>
      </c>
      <c r="AN46" s="140">
        <f>IF(AN19=0,"no data", SUM(AN19:AN24))</f>
        <v>182.2006749</v>
      </c>
      <c r="AO46" s="140">
        <f>IF(AO19=0,"no data", AVERAGE(AO19:AO24))</f>
        <v>965.74039025781178</v>
      </c>
      <c r="AP46" s="140">
        <f>AN46*AO46</f>
        <v>175958.55088316268</v>
      </c>
      <c r="AQ46" s="144">
        <f>IF(AQ19=0,"no data", AVERAGE(AQ19:AQ25))</f>
        <v>8698.3474640278237</v>
      </c>
      <c r="AR46" s="135"/>
      <c r="AS46" s="136"/>
      <c r="AT46" s="145"/>
      <c r="AU46" s="145"/>
      <c r="AV46" s="145"/>
      <c r="AW46" s="145"/>
      <c r="AX46" s="145">
        <f>3413/12796</f>
        <v>0.26672397624257582</v>
      </c>
      <c r="AY46" s="145"/>
      <c r="AZ46" s="145"/>
      <c r="BA46" s="113"/>
      <c r="BB46" s="145"/>
      <c r="BC46" s="114"/>
      <c r="BD46" s="145"/>
      <c r="BE46" s="145"/>
      <c r="BF46" s="145"/>
      <c r="BG46" s="145"/>
      <c r="BS46" s="4"/>
      <c r="BT46" s="5"/>
      <c r="BU46" s="5"/>
      <c r="BV46" s="6"/>
    </row>
    <row r="47" spans="1:85">
      <c r="B47" s="127" t="s">
        <v>143</v>
      </c>
      <c r="C47" s="140">
        <f>IF(C26=0,"no data", AVERAGE(C26:C32))</f>
        <v>68.781428571428577</v>
      </c>
      <c r="D47" s="140">
        <f>IF(D26=0,"no data", AVERAGE(D26:D32))</f>
        <v>0.64077142857142866</v>
      </c>
      <c r="E47" s="140">
        <f>IF(E26=0,"no data", AVERAGE(E26:E32))</f>
        <v>58.10285714285714</v>
      </c>
      <c r="F47" s="140">
        <f>IF(F26=0,"no data", AVERAGE(F26:F32))</f>
        <v>79.285714285714292</v>
      </c>
      <c r="G47" s="140">
        <f>IF(G26=0,"no data", AVERAGE(G26:G32))</f>
        <v>59</v>
      </c>
      <c r="H47" s="137">
        <f>SUM(H26:H32)+INT(SUM(I26:I32)/60)</f>
        <v>166</v>
      </c>
      <c r="I47" s="137">
        <f>SUM(I26:I32)-INT(SUM(I26:I32)/60)*60</f>
        <v>41</v>
      </c>
      <c r="J47" s="137">
        <f>SUM(J26:J32)+INT(SUM(K26:K32)/60)</f>
        <v>166</v>
      </c>
      <c r="K47" s="137">
        <f>SUM(K26:K32)-INT(SUM(K26:K32)/60)*60</f>
        <v>14</v>
      </c>
      <c r="L47" s="137">
        <f>SUM(L26:L32)+INT(SUM(M26:M32)/60)</f>
        <v>0</v>
      </c>
      <c r="M47" s="137">
        <f>SUM(M26:M32)-INT(SUM(M26:M32)/60)*60</f>
        <v>0</v>
      </c>
      <c r="N47" s="137">
        <f>SUM(N26:N32)+INT(SUM(O26:O32)/60)</f>
        <v>0</v>
      </c>
      <c r="O47" s="137">
        <f>SUM(O26:O32)-INT(SUM(O26:O32)/60)*60</f>
        <v>0</v>
      </c>
      <c r="P47" s="137">
        <f>SUM(P26:P32)+INT(SUM(Q26:Q32)/60)</f>
        <v>136</v>
      </c>
      <c r="Q47" s="137">
        <f>SUM(Q26:Q32)-INT(SUM(Q26:Q32)/60)*60</f>
        <v>40</v>
      </c>
      <c r="R47" s="139">
        <f>IF(R26=0,"no data", AVERAGE(R26:R32))</f>
        <v>3682.8571428571427</v>
      </c>
      <c r="S47" s="139">
        <f>IF(S26=0,"no data", AVERAGE(S26:S32))</f>
        <v>3582.2857142857142</v>
      </c>
      <c r="T47" s="139">
        <f>IF(T26=0,"no data", AVERAGE(T26:T32))</f>
        <v>3563.5714285714284</v>
      </c>
      <c r="U47" s="139">
        <f>IF(U26=0,"no data", SUM(U26:U32))</f>
        <v>24213</v>
      </c>
      <c r="V47" s="139">
        <f>IF(V26=0,"no data", SUM(V26:V32))</f>
        <v>24936</v>
      </c>
      <c r="W47" s="146">
        <f>IF(W26=0,"no data", AVERAGE(W26:W32))</f>
        <v>45.428571428571431</v>
      </c>
      <c r="X47" s="140">
        <f>IF(AND(X26=0,X27=0,X28=0,X29=0,X30=0,X31=0,X32=0),"No outage",SUM(X26:X32))</f>
        <v>68</v>
      </c>
      <c r="Y47" s="146">
        <f>IF(Y26=0,"no data", AVERAGE(Y26:Y32))</f>
        <v>45.142857142857146</v>
      </c>
      <c r="Z47" s="140">
        <f>IF(AND(Z26=0,Z27=0,Z28=0,Z29=0,Z30=0,Z31=0,Z32=0),"No outage",SUM(Z26:Z32))</f>
        <v>83</v>
      </c>
      <c r="AA47" s="140">
        <f>IF(AND(AA26=0,AA27=0,AA28=0,AA29=0,AA30=0,AA31=0,AA32=0),"No outage",SUM(AA26:AA32))</f>
        <v>432</v>
      </c>
      <c r="AB47" s="132">
        <f>IF(AA26=0,"no data", AVERAGE(AA26:AA32))</f>
        <v>61.714285714285715</v>
      </c>
      <c r="AC47" s="139">
        <f>IF(AC26=0,"no data", SUM(AC26:AC32))</f>
        <v>724</v>
      </c>
      <c r="AD47" s="139">
        <f>IF(AD26=0,"no data", SUM(AD26:AD32))</f>
        <v>-732</v>
      </c>
      <c r="AE47" s="146">
        <f t="shared" ref="AE47:AJ47" si="24">IF(AE26=0,"no data", AVERAGE(AE26:AE32))</f>
        <v>155.14285714285714</v>
      </c>
      <c r="AF47" s="138">
        <f t="shared" si="24"/>
        <v>0.9566309731719721</v>
      </c>
      <c r="AG47" s="140">
        <f t="shared" si="24"/>
        <v>153.45238095238093</v>
      </c>
      <c r="AH47" s="138">
        <f t="shared" si="24"/>
        <v>0.93922893734140567</v>
      </c>
      <c r="AI47" s="138">
        <f t="shared" si="24"/>
        <v>0.99177106027596218</v>
      </c>
      <c r="AJ47" s="138">
        <f t="shared" si="24"/>
        <v>0.97314870270720377</v>
      </c>
      <c r="AK47" s="139">
        <f>IF(AK26=0,"no data", SUM(AK26:AK32))</f>
        <v>69.759</v>
      </c>
      <c r="AL47" s="140">
        <f>IF(AL26=0,"no data", AVERAGE(AL26:AL32))</f>
        <v>136.70285714285714</v>
      </c>
      <c r="AM47" s="140">
        <f>AK47*AL47</f>
        <v>9536.2546114285706</v>
      </c>
      <c r="AN47" s="140">
        <f>IF(AN26=0,"no data", SUM(AN26:AN32))</f>
        <v>208.31106</v>
      </c>
      <c r="AO47" s="140">
        <f>IF(AO26=0,"no data", AVERAGE(AO26:AO32))</f>
        <v>965.97806372329319</v>
      </c>
      <c r="AP47" s="140">
        <f>AN47*AO47</f>
        <v>201223.91439094674</v>
      </c>
      <c r="AQ47" s="144">
        <f>IF(AQ26=0,"no data", AVERAGE(AQ26:AQ32))</f>
        <v>8702.2655199604069</v>
      </c>
      <c r="AR47" s="135"/>
      <c r="AS47" s="136"/>
      <c r="BA47" s="113"/>
      <c r="BC47" s="114"/>
      <c r="BS47" s="4"/>
      <c r="BT47" s="5"/>
      <c r="BU47" s="5"/>
      <c r="BV47" s="6"/>
    </row>
    <row r="48" spans="1:85">
      <c r="B48" s="127" t="s">
        <v>144</v>
      </c>
      <c r="C48" s="140">
        <f>IF(C33=0,"no data", AVERAGE(C33:C39))</f>
        <v>72.5</v>
      </c>
      <c r="D48" s="140">
        <f>IF(D33=0,"no data", AVERAGE(D33:D39))</f>
        <v>0.64766666666666672</v>
      </c>
      <c r="E48" s="140">
        <f>IF(E33=0,"no data", AVERAGE(E33:E39))</f>
        <v>61.5</v>
      </c>
      <c r="F48" s="140">
        <f>IF(F33=0,"no data", AVERAGE(F33:F39))</f>
        <v>83</v>
      </c>
      <c r="G48" s="140">
        <f>IF(G33=0,"no data", AVERAGE(G33:G39))</f>
        <v>61.666666666666664</v>
      </c>
      <c r="H48" s="137">
        <f>SUM(H33:H39)+INT(SUM(I33:I39)/60)</f>
        <v>72</v>
      </c>
      <c r="I48" s="137">
        <f>SUM(I33:I39)-INT(SUM(I33:I39)/60)*60</f>
        <v>0</v>
      </c>
      <c r="J48" s="137">
        <f>SUM(J33:J39)+INT(SUM(K33:K39)/60)</f>
        <v>72</v>
      </c>
      <c r="K48" s="137">
        <f>SUM(K33:K39)-INT(SUM(K33:K39)/60)*60</f>
        <v>0</v>
      </c>
      <c r="L48" s="137">
        <f>SUM(L33:L39)+INT(SUM(M33:M39)/60)</f>
        <v>0</v>
      </c>
      <c r="M48" s="137">
        <f>SUM(M33:M39)-INT(SUM(M33:M39)/60)*60</f>
        <v>0</v>
      </c>
      <c r="N48" s="137">
        <f>SUM(N33:N39)+INT(SUM(O33:O39)/60)</f>
        <v>0</v>
      </c>
      <c r="O48" s="137">
        <f>SUM(O33:O39)-INT(SUM(O33:O39)/60)*60</f>
        <v>0</v>
      </c>
      <c r="P48" s="137">
        <f>SUM(P33:P39)+INT(SUM(Q33:Q39)/60)</f>
        <v>46</v>
      </c>
      <c r="Q48" s="137">
        <f>SUM(Q33:Q39)-INT(SUM(Q33:Q39)/60)*60</f>
        <v>22</v>
      </c>
      <c r="R48" s="139">
        <f>IF(R33=0,"no data", AVERAGE(R33:R39))</f>
        <v>3655.6666666666665</v>
      </c>
      <c r="S48" s="139">
        <f>IF(S33=0,"no data", AVERAGE(S33:S39))</f>
        <v>3616</v>
      </c>
      <c r="T48" s="139">
        <f>IF(T33=0,"no data", AVERAGE(T33:T39))</f>
        <v>3557.6666666666665</v>
      </c>
      <c r="U48" s="139">
        <f>IF(U33=0,"no data", SUM(U33:U39))</f>
        <v>10468</v>
      </c>
      <c r="V48" s="139">
        <f>IF(V33=0,"no data", SUM(V33:V39))</f>
        <v>10789</v>
      </c>
      <c r="W48" s="146">
        <f>IF(W33=0,"no data", AVERAGE(W33:W39))</f>
        <v>44.666666666666664</v>
      </c>
      <c r="X48" s="140" t="str">
        <f>IF(AND(X33=0,X34=0,X35=0,X36=0,X37=0,X38=0,X39=0),"No outage",SUM(X33:X39))</f>
        <v>No outage</v>
      </c>
      <c r="Y48" s="146">
        <f>IF(Y33=0,"no data", AVERAGE(Y33:Y39))</f>
        <v>44.666666666666664</v>
      </c>
      <c r="Z48" s="140" t="str">
        <f>IF(AND(Z33=0,Z34=0,Z35=0,Z36=0,Z37=0,Z38=0,Z39=0),"No outage",SUM(Z33:Z39))</f>
        <v>No outage</v>
      </c>
      <c r="AA48" s="140">
        <f>IF(AND(AA33=0,AA34=0,AA35=0,AA36=0,AA37=0,AA38=0,AA39=0),"No outage",SUM(AA33:AA39))</f>
        <v>186</v>
      </c>
      <c r="AB48" s="132">
        <f>IF(AA33=0,"no data", AVERAGE(AA33:AA39))</f>
        <v>62</v>
      </c>
      <c r="AC48" s="139">
        <f>IF(AC33=0,"no data", SUM(AC33:AC39))</f>
        <v>321</v>
      </c>
      <c r="AD48" s="139">
        <f>IF(AD33=0,"no data", SUM(AD33:AD39))</f>
        <v>-205</v>
      </c>
      <c r="AE48" s="146">
        <f>IF(AE33=0,"no data", AVERAGE(AE33:AE39))</f>
        <v>155</v>
      </c>
      <c r="AF48" s="138">
        <f>IF(AF33=0,"no data", AVERAGE(AF33:AF39))</f>
        <v>0.96685922004393332</v>
      </c>
      <c r="AG48" s="140">
        <f>IF(AG33=0,"no data", AVERAGE(AG33:AG39))</f>
        <v>152.31944444444446</v>
      </c>
      <c r="AH48" s="138">
        <f>IF(AH33=0,"no data", AVERAGE(AH33:AH39))</f>
        <v>0.95451276505617955</v>
      </c>
      <c r="AI48" s="138">
        <f>IF(AI27=0,"no data", AVERAGE(AI33:AI39))</f>
        <v>1</v>
      </c>
      <c r="AJ48" s="138">
        <f>IF(AJ33=0,"no data", AVERAGE(AJ33:AJ39))</f>
        <v>0.98803606237816766</v>
      </c>
      <c r="AK48" s="139">
        <f>IF(AK33=0,"no data", SUM(AK33:AK39))</f>
        <v>30</v>
      </c>
      <c r="AL48" s="140">
        <f>IF(AL33=0,"no data", AVERAGE(AL33:AL39))</f>
        <v>136.37333333333333</v>
      </c>
      <c r="AM48" s="140">
        <f>AK48*AL48</f>
        <v>4091.2</v>
      </c>
      <c r="AN48" s="140">
        <f>IF(AN33=0,"no data", SUM(AN33:AN39))</f>
        <v>91.432999999999993</v>
      </c>
      <c r="AO48" s="140">
        <f>IF(AO33=0,"no data", AVERAGE(AO33:AO39))</f>
        <v>963.06556212886414</v>
      </c>
      <c r="AP48" s="140">
        <f>AN48*AO48</f>
        <v>88055.973542128428</v>
      </c>
      <c r="AQ48" s="140">
        <f>IF(AQ33=0,"no data", AVERAGE(AQ33:AQ39))</f>
        <v>8802.4448211623476</v>
      </c>
      <c r="AR48" s="135"/>
      <c r="AS48" s="136"/>
      <c r="BA48" s="113"/>
      <c r="BC48" s="114"/>
      <c r="BS48" s="4"/>
      <c r="BT48" s="5"/>
      <c r="BU48" s="5"/>
      <c r="BV48" s="6"/>
    </row>
    <row r="49" spans="2:74">
      <c r="B49" s="147"/>
      <c r="C49" s="148"/>
      <c r="D49" s="148"/>
      <c r="E49" s="148"/>
      <c r="F49" s="148"/>
      <c r="G49" s="149"/>
      <c r="H49" s="149"/>
      <c r="I49" s="149"/>
      <c r="J49" s="149"/>
      <c r="K49" s="150"/>
      <c r="L49" s="150"/>
      <c r="M49" s="150"/>
      <c r="N49" s="150"/>
      <c r="O49" s="151"/>
      <c r="P49" s="151"/>
      <c r="Q49" s="148"/>
      <c r="R49" s="148"/>
      <c r="S49" s="148"/>
      <c r="T49" s="148"/>
      <c r="U49" s="148"/>
      <c r="V49" s="148"/>
      <c r="W49" s="148"/>
      <c r="X49" s="148"/>
      <c r="Y49" s="148"/>
      <c r="Z49" s="148"/>
      <c r="AA49" s="148"/>
      <c r="AB49" s="148"/>
      <c r="AC49" s="151"/>
      <c r="AD49" s="151"/>
      <c r="AE49" s="148"/>
      <c r="AF49" s="151"/>
      <c r="AG49" s="151"/>
      <c r="AH49" s="148"/>
      <c r="AI49" s="148"/>
      <c r="AJ49" s="148"/>
      <c r="AK49" s="148"/>
      <c r="AL49" s="148"/>
      <c r="AM49" s="148"/>
      <c r="AQ49" s="126"/>
      <c r="AR49" s="126"/>
      <c r="AS49" s="126"/>
      <c r="AT49" s="126"/>
      <c r="BA49" s="113"/>
      <c r="BC49" s="114"/>
      <c r="BS49" s="4"/>
      <c r="BT49" s="5"/>
      <c r="BU49" s="5"/>
      <c r="BV49" s="6"/>
    </row>
    <row r="50" spans="2:74" ht="15.75" thickBot="1">
      <c r="B50" s="147"/>
      <c r="C50" s="148"/>
      <c r="D50" s="148"/>
      <c r="E50" s="148"/>
      <c r="F50" s="148"/>
      <c r="G50" s="149"/>
      <c r="H50" s="149"/>
      <c r="I50" s="149"/>
      <c r="J50" s="149"/>
      <c r="K50" s="150"/>
      <c r="L50" s="150"/>
      <c r="M50" s="150"/>
      <c r="N50" s="150"/>
      <c r="O50" s="151"/>
      <c r="P50" s="151"/>
      <c r="Q50" s="148"/>
      <c r="R50" s="148"/>
      <c r="S50" s="148"/>
      <c r="T50" s="148"/>
      <c r="U50" s="148"/>
      <c r="V50" s="148"/>
      <c r="W50" s="148"/>
      <c r="X50" s="148"/>
      <c r="Y50" s="148"/>
      <c r="Z50" s="148"/>
      <c r="AA50" s="148"/>
      <c r="AB50" s="148"/>
      <c r="AC50" s="151"/>
      <c r="AD50" s="151"/>
      <c r="AE50" s="148"/>
      <c r="AF50" s="151"/>
      <c r="AG50" s="151"/>
      <c r="AH50" s="148"/>
      <c r="AI50" s="148"/>
      <c r="AJ50" s="148"/>
      <c r="AK50" s="148"/>
      <c r="AL50" s="148"/>
      <c r="AM50" s="148"/>
      <c r="AQ50" s="126"/>
      <c r="AR50" s="126"/>
      <c r="AS50" s="126"/>
      <c r="AT50" s="126"/>
      <c r="BA50" s="113"/>
      <c r="BC50" s="114"/>
      <c r="BS50" s="4"/>
      <c r="BT50" s="5"/>
      <c r="BU50" s="5"/>
      <c r="BV50" s="6"/>
    </row>
    <row r="51" spans="2:74" ht="16.5" thickTop="1">
      <c r="B51" s="152" t="s">
        <v>121</v>
      </c>
      <c r="C51" s="430" t="s">
        <v>122</v>
      </c>
      <c r="D51" s="431"/>
      <c r="E51" s="431"/>
      <c r="F51" s="431"/>
      <c r="G51" s="431"/>
      <c r="H51" s="431"/>
      <c r="I51" s="431"/>
      <c r="J51" s="431"/>
      <c r="K51" s="431"/>
      <c r="L51" s="431"/>
      <c r="M51" s="431"/>
      <c r="N51" s="431"/>
      <c r="O51" s="431"/>
      <c r="P51" s="431"/>
      <c r="Q51" s="431"/>
      <c r="R51" s="431"/>
      <c r="S51" s="431"/>
      <c r="T51" s="431"/>
      <c r="U51" s="431"/>
      <c r="V51" s="431"/>
      <c r="W51" s="431"/>
      <c r="X51" s="431"/>
      <c r="Y51" s="431"/>
      <c r="Z51" s="431"/>
      <c r="AA51" s="431"/>
      <c r="AB51" s="431"/>
      <c r="AC51" s="431"/>
      <c r="AD51" s="431"/>
      <c r="AE51" s="432"/>
      <c r="AF51" s="151"/>
      <c r="AG51" s="151"/>
      <c r="AH51" s="148"/>
      <c r="AI51" s="148"/>
      <c r="AJ51" s="148"/>
      <c r="AK51" s="148"/>
      <c r="AL51" s="148"/>
      <c r="AM51" s="148"/>
      <c r="AQ51" s="126"/>
      <c r="AR51" s="126"/>
      <c r="AS51" s="126"/>
      <c r="AT51" s="126"/>
      <c r="BA51" s="113"/>
      <c r="BS51" s="4"/>
      <c r="BT51" s="5"/>
      <c r="BU51" s="5"/>
      <c r="BV51" s="6"/>
    </row>
    <row r="52" spans="2:74" ht="15.75">
      <c r="B52" s="153">
        <v>43132</v>
      </c>
      <c r="C52" s="416" t="s">
        <v>145</v>
      </c>
      <c r="D52" s="417"/>
      <c r="E52" s="417"/>
      <c r="F52" s="417"/>
      <c r="G52" s="417"/>
      <c r="H52" s="417"/>
      <c r="I52" s="417"/>
      <c r="J52" s="417"/>
      <c r="K52" s="417"/>
      <c r="L52" s="417"/>
      <c r="M52" s="417"/>
      <c r="N52" s="417"/>
      <c r="O52" s="417"/>
      <c r="P52" s="417"/>
      <c r="Q52" s="417"/>
      <c r="R52" s="417"/>
      <c r="S52" s="417"/>
      <c r="T52" s="417"/>
      <c r="U52" s="417"/>
      <c r="V52" s="417"/>
      <c r="W52" s="417"/>
      <c r="X52" s="417"/>
      <c r="Y52" s="417"/>
      <c r="Z52" s="417"/>
      <c r="AA52" s="417"/>
      <c r="AB52" s="417"/>
      <c r="AC52" s="417"/>
      <c r="AD52" s="417"/>
      <c r="AE52" s="418"/>
      <c r="AF52" s="151"/>
      <c r="AG52" s="151"/>
      <c r="AH52" s="148"/>
      <c r="AI52" s="148"/>
      <c r="AJ52" s="148"/>
      <c r="AK52" s="148"/>
      <c r="AL52" s="148"/>
      <c r="AM52" s="148"/>
      <c r="AQ52" s="126"/>
      <c r="AR52" s="126"/>
      <c r="AS52" s="126"/>
      <c r="AT52" s="126"/>
      <c r="BA52" s="113"/>
      <c r="BS52" s="4"/>
      <c r="BT52" s="5"/>
      <c r="BU52" s="5"/>
      <c r="BV52" s="6"/>
    </row>
    <row r="53" spans="2:74" ht="15.75">
      <c r="B53" s="153">
        <v>43133</v>
      </c>
      <c r="C53" s="416" t="s">
        <v>123</v>
      </c>
      <c r="D53" s="417"/>
      <c r="E53" s="417"/>
      <c r="F53" s="417"/>
      <c r="G53" s="417"/>
      <c r="H53" s="417"/>
      <c r="I53" s="417"/>
      <c r="J53" s="417"/>
      <c r="K53" s="417"/>
      <c r="L53" s="417"/>
      <c r="M53" s="417"/>
      <c r="N53" s="417"/>
      <c r="O53" s="417"/>
      <c r="P53" s="417"/>
      <c r="Q53" s="417"/>
      <c r="R53" s="417"/>
      <c r="S53" s="417"/>
      <c r="T53" s="417"/>
      <c r="U53" s="417"/>
      <c r="V53" s="417"/>
      <c r="W53" s="417"/>
      <c r="X53" s="417"/>
      <c r="Y53" s="417"/>
      <c r="Z53" s="417"/>
      <c r="AA53" s="417"/>
      <c r="AB53" s="417"/>
      <c r="AC53" s="417"/>
      <c r="AD53" s="417"/>
      <c r="AE53" s="418"/>
      <c r="AF53" s="151"/>
      <c r="AG53" s="151"/>
      <c r="AH53" s="148"/>
      <c r="AI53" s="148"/>
      <c r="AJ53" s="148"/>
      <c r="AK53" s="148"/>
      <c r="AL53" s="148"/>
      <c r="AM53" s="148"/>
      <c r="AQ53" s="126"/>
      <c r="AR53" s="126"/>
      <c r="AS53" s="126"/>
      <c r="AT53" s="126"/>
      <c r="BA53" s="113"/>
      <c r="BS53" s="4"/>
      <c r="BT53" s="5"/>
      <c r="BU53" s="5"/>
      <c r="BV53" s="6"/>
    </row>
    <row r="54" spans="2:74" ht="15.75">
      <c r="B54" s="153">
        <v>43134</v>
      </c>
      <c r="C54" s="416" t="s">
        <v>123</v>
      </c>
      <c r="D54" s="417"/>
      <c r="E54" s="417"/>
      <c r="F54" s="417"/>
      <c r="G54" s="417"/>
      <c r="H54" s="417"/>
      <c r="I54" s="417"/>
      <c r="J54" s="417"/>
      <c r="K54" s="417"/>
      <c r="L54" s="417"/>
      <c r="M54" s="417"/>
      <c r="N54" s="417"/>
      <c r="O54" s="417"/>
      <c r="P54" s="417"/>
      <c r="Q54" s="417"/>
      <c r="R54" s="417"/>
      <c r="S54" s="417"/>
      <c r="T54" s="417"/>
      <c r="U54" s="417"/>
      <c r="V54" s="417"/>
      <c r="W54" s="417"/>
      <c r="X54" s="417"/>
      <c r="Y54" s="417"/>
      <c r="Z54" s="417"/>
      <c r="AA54" s="417"/>
      <c r="AB54" s="417"/>
      <c r="AC54" s="417"/>
      <c r="AD54" s="417"/>
      <c r="AE54" s="418"/>
      <c r="AF54" s="151"/>
      <c r="AG54" s="151"/>
      <c r="AH54" s="148"/>
      <c r="AI54" s="148"/>
      <c r="AJ54" s="148"/>
      <c r="AK54" s="148"/>
      <c r="AL54" s="148"/>
      <c r="AM54" s="148"/>
      <c r="AQ54" s="126"/>
      <c r="AR54" s="126"/>
      <c r="AS54" s="126"/>
      <c r="AT54" s="126"/>
      <c r="BA54" s="113"/>
      <c r="BS54" s="4"/>
      <c r="BT54" s="5"/>
      <c r="BU54" s="5"/>
      <c r="BV54" s="6"/>
    </row>
    <row r="55" spans="2:74" ht="15.75">
      <c r="B55" s="153">
        <v>43135</v>
      </c>
      <c r="C55" s="416" t="s">
        <v>146</v>
      </c>
      <c r="D55" s="417"/>
      <c r="E55" s="417"/>
      <c r="F55" s="417"/>
      <c r="G55" s="417"/>
      <c r="H55" s="417"/>
      <c r="I55" s="417"/>
      <c r="J55" s="417"/>
      <c r="K55" s="417"/>
      <c r="L55" s="417"/>
      <c r="M55" s="417"/>
      <c r="N55" s="417"/>
      <c r="O55" s="417"/>
      <c r="P55" s="417"/>
      <c r="Q55" s="417"/>
      <c r="R55" s="417"/>
      <c r="S55" s="417"/>
      <c r="T55" s="417"/>
      <c r="U55" s="417"/>
      <c r="V55" s="417"/>
      <c r="W55" s="417"/>
      <c r="X55" s="417"/>
      <c r="Y55" s="417"/>
      <c r="Z55" s="417"/>
      <c r="AA55" s="417"/>
      <c r="AB55" s="417"/>
      <c r="AC55" s="417"/>
      <c r="AD55" s="417"/>
      <c r="AE55" s="418"/>
      <c r="AF55" s="151"/>
      <c r="AG55" s="151"/>
      <c r="AH55" s="148"/>
      <c r="AI55" s="148"/>
      <c r="AJ55" s="148"/>
      <c r="AK55" s="148"/>
      <c r="AL55" s="148"/>
      <c r="AM55" s="148"/>
      <c r="AQ55" s="126"/>
      <c r="AR55" s="126"/>
      <c r="AS55" s="126"/>
      <c r="AT55" s="126"/>
      <c r="BA55" s="113"/>
      <c r="BS55" s="4"/>
      <c r="BT55" s="5"/>
      <c r="BU55" s="5"/>
      <c r="BV55" s="6"/>
    </row>
    <row r="56" spans="2:74" ht="15.75">
      <c r="B56" s="153">
        <v>43136</v>
      </c>
      <c r="C56" s="416" t="s">
        <v>147</v>
      </c>
      <c r="D56" s="417"/>
      <c r="E56" s="417"/>
      <c r="F56" s="417"/>
      <c r="G56" s="417"/>
      <c r="H56" s="417"/>
      <c r="I56" s="417"/>
      <c r="J56" s="417"/>
      <c r="K56" s="417"/>
      <c r="L56" s="417"/>
      <c r="M56" s="417"/>
      <c r="N56" s="417"/>
      <c r="O56" s="417"/>
      <c r="P56" s="417"/>
      <c r="Q56" s="417"/>
      <c r="R56" s="417"/>
      <c r="S56" s="417"/>
      <c r="T56" s="417"/>
      <c r="U56" s="417"/>
      <c r="V56" s="417"/>
      <c r="W56" s="417"/>
      <c r="X56" s="417"/>
      <c r="Y56" s="417"/>
      <c r="Z56" s="417"/>
      <c r="AA56" s="417"/>
      <c r="AB56" s="417"/>
      <c r="AC56" s="417"/>
      <c r="AD56" s="417"/>
      <c r="AE56" s="418"/>
      <c r="AF56" s="151"/>
      <c r="AG56" s="151"/>
      <c r="AH56" s="148"/>
      <c r="AI56" s="148"/>
      <c r="AJ56" s="148"/>
      <c r="AK56" s="148"/>
      <c r="AL56" s="148"/>
      <c r="AM56" s="148"/>
      <c r="AQ56" s="126"/>
      <c r="AR56" s="126"/>
      <c r="AS56" s="126"/>
      <c r="AT56" s="126"/>
      <c r="BA56" s="113"/>
      <c r="BS56" s="4"/>
      <c r="BT56" s="5"/>
      <c r="BU56" s="5"/>
      <c r="BV56" s="6"/>
    </row>
    <row r="57" spans="2:74" ht="15.75">
      <c r="B57" s="153">
        <v>43137</v>
      </c>
      <c r="C57" s="416" t="s">
        <v>123</v>
      </c>
      <c r="D57" s="417"/>
      <c r="E57" s="417"/>
      <c r="F57" s="417"/>
      <c r="G57" s="417"/>
      <c r="H57" s="417"/>
      <c r="I57" s="417"/>
      <c r="J57" s="417"/>
      <c r="K57" s="417"/>
      <c r="L57" s="417"/>
      <c r="M57" s="417"/>
      <c r="N57" s="417"/>
      <c r="O57" s="417"/>
      <c r="P57" s="417"/>
      <c r="Q57" s="417"/>
      <c r="R57" s="417"/>
      <c r="S57" s="417"/>
      <c r="T57" s="417"/>
      <c r="U57" s="417"/>
      <c r="V57" s="417"/>
      <c r="W57" s="417"/>
      <c r="X57" s="417"/>
      <c r="Y57" s="417"/>
      <c r="Z57" s="417"/>
      <c r="AA57" s="417"/>
      <c r="AB57" s="417"/>
      <c r="AC57" s="417"/>
      <c r="AD57" s="417"/>
      <c r="AE57" s="418"/>
      <c r="AF57" s="151"/>
      <c r="AG57" s="151"/>
      <c r="AH57" s="148"/>
      <c r="AI57" s="148"/>
      <c r="AJ57" s="148"/>
      <c r="AK57" s="148"/>
      <c r="AL57" s="148"/>
      <c r="AM57" s="148"/>
      <c r="AQ57" s="126"/>
      <c r="AR57" s="126"/>
      <c r="AS57" s="126"/>
      <c r="AT57" s="126"/>
      <c r="BA57" s="113"/>
      <c r="BS57" s="4"/>
      <c r="BT57" s="5"/>
      <c r="BU57" s="5"/>
      <c r="BV57" s="6"/>
    </row>
    <row r="58" spans="2:74" ht="15.75">
      <c r="B58" s="153">
        <v>43138</v>
      </c>
      <c r="C58" s="416" t="s">
        <v>148</v>
      </c>
      <c r="D58" s="417"/>
      <c r="E58" s="417"/>
      <c r="F58" s="417"/>
      <c r="G58" s="417"/>
      <c r="H58" s="417"/>
      <c r="I58" s="417"/>
      <c r="J58" s="417"/>
      <c r="K58" s="417"/>
      <c r="L58" s="417"/>
      <c r="M58" s="417"/>
      <c r="N58" s="417"/>
      <c r="O58" s="417"/>
      <c r="P58" s="417"/>
      <c r="Q58" s="417"/>
      <c r="R58" s="417"/>
      <c r="S58" s="417"/>
      <c r="T58" s="417"/>
      <c r="U58" s="417"/>
      <c r="V58" s="417"/>
      <c r="W58" s="417"/>
      <c r="X58" s="417"/>
      <c r="Y58" s="417"/>
      <c r="Z58" s="417"/>
      <c r="AA58" s="417"/>
      <c r="AB58" s="417"/>
      <c r="AC58" s="417"/>
      <c r="AD58" s="417"/>
      <c r="AE58" s="418"/>
      <c r="AF58" s="151"/>
      <c r="AG58" s="151"/>
      <c r="AH58" s="148"/>
      <c r="AI58" s="148"/>
      <c r="AJ58" s="148"/>
      <c r="AK58" s="148"/>
      <c r="AL58" s="148"/>
      <c r="AM58" s="148"/>
      <c r="AQ58" s="126"/>
      <c r="AR58" s="126"/>
      <c r="AS58" s="126"/>
      <c r="AT58" s="126"/>
      <c r="BA58" s="113"/>
      <c r="BS58" s="4"/>
      <c r="BT58" s="5"/>
      <c r="BU58" s="5"/>
      <c r="BV58" s="6"/>
    </row>
    <row r="59" spans="2:74" ht="15.75">
      <c r="B59" s="153">
        <v>43139</v>
      </c>
      <c r="C59" s="416" t="s">
        <v>123</v>
      </c>
      <c r="D59" s="417"/>
      <c r="E59" s="417"/>
      <c r="F59" s="417"/>
      <c r="G59" s="417"/>
      <c r="H59" s="417"/>
      <c r="I59" s="417"/>
      <c r="J59" s="417"/>
      <c r="K59" s="417"/>
      <c r="L59" s="417"/>
      <c r="M59" s="417"/>
      <c r="N59" s="417"/>
      <c r="O59" s="417"/>
      <c r="P59" s="417"/>
      <c r="Q59" s="417"/>
      <c r="R59" s="417"/>
      <c r="S59" s="417"/>
      <c r="T59" s="417"/>
      <c r="U59" s="417"/>
      <c r="V59" s="417"/>
      <c r="W59" s="417"/>
      <c r="X59" s="417"/>
      <c r="Y59" s="417"/>
      <c r="Z59" s="417"/>
      <c r="AA59" s="417"/>
      <c r="AB59" s="417"/>
      <c r="AC59" s="417"/>
      <c r="AD59" s="417"/>
      <c r="AE59" s="418"/>
      <c r="AF59" s="151"/>
      <c r="AG59" s="151"/>
      <c r="AH59" s="148"/>
      <c r="AI59" s="148"/>
      <c r="AJ59" s="148"/>
      <c r="AK59" s="148"/>
      <c r="AL59" s="148"/>
      <c r="AM59" s="148"/>
      <c r="AQ59" s="126"/>
      <c r="AR59" s="126"/>
      <c r="AS59" s="126"/>
      <c r="AT59" s="126"/>
      <c r="BA59" s="113"/>
      <c r="BS59" s="4"/>
      <c r="BT59" s="5"/>
      <c r="BU59" s="5"/>
      <c r="BV59" s="6"/>
    </row>
    <row r="60" spans="2:74" ht="15.75">
      <c r="B60" s="153">
        <v>43140</v>
      </c>
      <c r="C60" s="416" t="s">
        <v>150</v>
      </c>
      <c r="D60" s="417"/>
      <c r="E60" s="417"/>
      <c r="F60" s="417"/>
      <c r="G60" s="417"/>
      <c r="H60" s="417"/>
      <c r="I60" s="417"/>
      <c r="J60" s="417"/>
      <c r="K60" s="417"/>
      <c r="L60" s="417"/>
      <c r="M60" s="417"/>
      <c r="N60" s="417"/>
      <c r="O60" s="417"/>
      <c r="P60" s="417"/>
      <c r="Q60" s="417"/>
      <c r="R60" s="417"/>
      <c r="S60" s="417"/>
      <c r="T60" s="417"/>
      <c r="U60" s="417"/>
      <c r="V60" s="417"/>
      <c r="W60" s="417"/>
      <c r="X60" s="417"/>
      <c r="Y60" s="417"/>
      <c r="Z60" s="417"/>
      <c r="AA60" s="417"/>
      <c r="AB60" s="417"/>
      <c r="AC60" s="417"/>
      <c r="AD60" s="417"/>
      <c r="AE60" s="418"/>
      <c r="AF60" s="151"/>
      <c r="AG60" s="151"/>
      <c r="AH60" s="148"/>
      <c r="AI60" s="148"/>
      <c r="AJ60" s="148"/>
      <c r="AK60" s="148"/>
      <c r="AL60" s="148"/>
      <c r="AM60" s="148"/>
      <c r="AQ60" s="126"/>
      <c r="AR60" s="126"/>
      <c r="AS60" s="126"/>
      <c r="AT60" s="126"/>
      <c r="BA60" s="113"/>
      <c r="BS60" s="4"/>
      <c r="BT60" s="5"/>
      <c r="BU60" s="5"/>
      <c r="BV60" s="6"/>
    </row>
    <row r="61" spans="2:74" ht="15.75">
      <c r="B61" s="153">
        <v>43141</v>
      </c>
      <c r="C61" s="416" t="s">
        <v>123</v>
      </c>
      <c r="D61" s="417"/>
      <c r="E61" s="417"/>
      <c r="F61" s="417"/>
      <c r="G61" s="417"/>
      <c r="H61" s="417"/>
      <c r="I61" s="417"/>
      <c r="J61" s="417"/>
      <c r="K61" s="417"/>
      <c r="L61" s="417"/>
      <c r="M61" s="417"/>
      <c r="N61" s="417"/>
      <c r="O61" s="417"/>
      <c r="P61" s="417"/>
      <c r="Q61" s="417"/>
      <c r="R61" s="417"/>
      <c r="S61" s="417"/>
      <c r="T61" s="417"/>
      <c r="U61" s="417"/>
      <c r="V61" s="417"/>
      <c r="W61" s="417"/>
      <c r="X61" s="417"/>
      <c r="Y61" s="417"/>
      <c r="Z61" s="417"/>
      <c r="AA61" s="417"/>
      <c r="AB61" s="417"/>
      <c r="AC61" s="417"/>
      <c r="AD61" s="417"/>
      <c r="AE61" s="418"/>
      <c r="AF61" s="151"/>
      <c r="AG61" s="151"/>
      <c r="AH61" s="148"/>
      <c r="AI61" s="148"/>
      <c r="AJ61" s="148"/>
      <c r="AK61" s="148"/>
      <c r="AL61" s="148"/>
      <c r="AM61" s="148"/>
      <c r="AQ61" s="126"/>
      <c r="AR61" s="126"/>
      <c r="AS61" s="126"/>
      <c r="AT61" s="126"/>
      <c r="BA61" s="113"/>
      <c r="BS61" s="4"/>
      <c r="BT61" s="5"/>
      <c r="BU61" s="5"/>
      <c r="BV61" s="6"/>
    </row>
    <row r="62" spans="2:74" ht="15.75">
      <c r="B62" s="153">
        <v>43142</v>
      </c>
      <c r="C62" s="416" t="s">
        <v>151</v>
      </c>
      <c r="D62" s="417"/>
      <c r="E62" s="417"/>
      <c r="F62" s="417"/>
      <c r="G62" s="417"/>
      <c r="H62" s="417"/>
      <c r="I62" s="417"/>
      <c r="J62" s="417"/>
      <c r="K62" s="417"/>
      <c r="L62" s="417"/>
      <c r="M62" s="417"/>
      <c r="N62" s="417"/>
      <c r="O62" s="417"/>
      <c r="P62" s="417"/>
      <c r="Q62" s="417"/>
      <c r="R62" s="417"/>
      <c r="S62" s="417"/>
      <c r="T62" s="417"/>
      <c r="U62" s="417"/>
      <c r="V62" s="417"/>
      <c r="W62" s="417"/>
      <c r="X62" s="417"/>
      <c r="Y62" s="417"/>
      <c r="Z62" s="417"/>
      <c r="AA62" s="417"/>
      <c r="AB62" s="417"/>
      <c r="AC62" s="417"/>
      <c r="AD62" s="417"/>
      <c r="AE62" s="418"/>
      <c r="AF62" s="151"/>
      <c r="AG62" s="151"/>
      <c r="AH62" s="148"/>
      <c r="AI62" s="148"/>
      <c r="AJ62" s="148"/>
      <c r="AK62" s="148"/>
      <c r="AL62" s="148"/>
      <c r="AM62" s="148"/>
      <c r="AQ62" s="126"/>
      <c r="AR62" s="126"/>
      <c r="AS62" s="126"/>
      <c r="AT62" s="126"/>
      <c r="BA62" s="113"/>
      <c r="BS62" s="4"/>
      <c r="BT62" s="5"/>
      <c r="BU62" s="5"/>
      <c r="BV62" s="6"/>
    </row>
    <row r="63" spans="2:74" ht="15.75">
      <c r="B63" s="153">
        <v>43143</v>
      </c>
      <c r="C63" s="416" t="s">
        <v>152</v>
      </c>
      <c r="D63" s="417"/>
      <c r="E63" s="417"/>
      <c r="F63" s="417"/>
      <c r="G63" s="417"/>
      <c r="H63" s="417"/>
      <c r="I63" s="417"/>
      <c r="J63" s="417"/>
      <c r="K63" s="417"/>
      <c r="L63" s="417"/>
      <c r="M63" s="417"/>
      <c r="N63" s="417"/>
      <c r="O63" s="417"/>
      <c r="P63" s="417"/>
      <c r="Q63" s="417"/>
      <c r="R63" s="417"/>
      <c r="S63" s="417"/>
      <c r="T63" s="417"/>
      <c r="U63" s="417"/>
      <c r="V63" s="417"/>
      <c r="W63" s="417"/>
      <c r="X63" s="417"/>
      <c r="Y63" s="417"/>
      <c r="Z63" s="417"/>
      <c r="AA63" s="417"/>
      <c r="AB63" s="417"/>
      <c r="AC63" s="417"/>
      <c r="AD63" s="417"/>
      <c r="AE63" s="418"/>
      <c r="AF63" s="151"/>
      <c r="AG63" s="151"/>
      <c r="AH63" s="148"/>
      <c r="AI63" s="148"/>
      <c r="AJ63" s="148"/>
      <c r="AK63" s="148"/>
      <c r="AL63" s="148"/>
      <c r="AM63" s="148"/>
      <c r="AQ63" s="126"/>
      <c r="AR63" s="126"/>
      <c r="AS63" s="126"/>
      <c r="AT63" s="126"/>
      <c r="BA63" s="113"/>
      <c r="BS63" s="4"/>
      <c r="BT63" s="5"/>
      <c r="BU63" s="5"/>
      <c r="BV63" s="6"/>
    </row>
    <row r="64" spans="2:74" ht="15.75">
      <c r="B64" s="153">
        <v>43144</v>
      </c>
      <c r="C64" s="416" t="s">
        <v>153</v>
      </c>
      <c r="D64" s="417"/>
      <c r="E64" s="417"/>
      <c r="F64" s="417"/>
      <c r="G64" s="417"/>
      <c r="H64" s="417"/>
      <c r="I64" s="417"/>
      <c r="J64" s="417"/>
      <c r="K64" s="417"/>
      <c r="L64" s="417"/>
      <c r="M64" s="417"/>
      <c r="N64" s="417"/>
      <c r="O64" s="417"/>
      <c r="P64" s="417"/>
      <c r="Q64" s="417"/>
      <c r="R64" s="417"/>
      <c r="S64" s="417"/>
      <c r="T64" s="417"/>
      <c r="U64" s="417"/>
      <c r="V64" s="417"/>
      <c r="W64" s="417"/>
      <c r="X64" s="417"/>
      <c r="Y64" s="417"/>
      <c r="Z64" s="417"/>
      <c r="AA64" s="417"/>
      <c r="AB64" s="417"/>
      <c r="AC64" s="417"/>
      <c r="AD64" s="417"/>
      <c r="AE64" s="418"/>
      <c r="AF64" s="151"/>
      <c r="AG64" s="151"/>
      <c r="AH64" s="148"/>
      <c r="AI64" s="148"/>
      <c r="AJ64" s="148"/>
      <c r="AK64" s="148"/>
      <c r="AL64" s="148"/>
      <c r="AM64" s="148"/>
      <c r="AQ64" s="126"/>
      <c r="AR64" s="126"/>
      <c r="AS64" s="126"/>
      <c r="AT64" s="126"/>
      <c r="BA64" s="113"/>
      <c r="BS64" s="4"/>
      <c r="BT64" s="5"/>
      <c r="BU64" s="5"/>
      <c r="BV64" s="6"/>
    </row>
    <row r="65" spans="2:74" ht="15.75">
      <c r="B65" s="153">
        <v>43145</v>
      </c>
      <c r="C65" s="416" t="s">
        <v>123</v>
      </c>
      <c r="D65" s="417"/>
      <c r="E65" s="417"/>
      <c r="F65" s="417"/>
      <c r="G65" s="417"/>
      <c r="H65" s="417"/>
      <c r="I65" s="417"/>
      <c r="J65" s="417"/>
      <c r="K65" s="417"/>
      <c r="L65" s="417"/>
      <c r="M65" s="417"/>
      <c r="N65" s="417"/>
      <c r="O65" s="417"/>
      <c r="P65" s="417"/>
      <c r="Q65" s="417"/>
      <c r="R65" s="417"/>
      <c r="S65" s="417"/>
      <c r="T65" s="417"/>
      <c r="U65" s="417"/>
      <c r="V65" s="417"/>
      <c r="W65" s="417"/>
      <c r="X65" s="417"/>
      <c r="Y65" s="417"/>
      <c r="Z65" s="417"/>
      <c r="AA65" s="417"/>
      <c r="AB65" s="417"/>
      <c r="AC65" s="417"/>
      <c r="AD65" s="417"/>
      <c r="AE65" s="418"/>
      <c r="AF65" s="151"/>
      <c r="AG65" s="151"/>
      <c r="AH65" s="148"/>
      <c r="AI65" s="148"/>
      <c r="AJ65" s="148"/>
      <c r="AK65" s="148"/>
      <c r="AL65" s="148"/>
      <c r="AM65" s="148"/>
      <c r="AQ65" s="126"/>
      <c r="AR65" s="126"/>
      <c r="AS65" s="126"/>
      <c r="AT65" s="126"/>
      <c r="BA65" s="113"/>
      <c r="BS65" s="4"/>
      <c r="BT65" s="5"/>
      <c r="BU65" s="5"/>
      <c r="BV65" s="6"/>
    </row>
    <row r="66" spans="2:74" ht="15.75">
      <c r="B66" s="153">
        <v>43146</v>
      </c>
      <c r="C66" s="416" t="s">
        <v>123</v>
      </c>
      <c r="D66" s="417"/>
      <c r="E66" s="417"/>
      <c r="F66" s="417"/>
      <c r="G66" s="417"/>
      <c r="H66" s="417"/>
      <c r="I66" s="417"/>
      <c r="J66" s="417"/>
      <c r="K66" s="417"/>
      <c r="L66" s="417"/>
      <c r="M66" s="417"/>
      <c r="N66" s="417"/>
      <c r="O66" s="417"/>
      <c r="P66" s="417"/>
      <c r="Q66" s="417"/>
      <c r="R66" s="417"/>
      <c r="S66" s="417"/>
      <c r="T66" s="417"/>
      <c r="U66" s="417"/>
      <c r="V66" s="417"/>
      <c r="W66" s="417"/>
      <c r="X66" s="417"/>
      <c r="Y66" s="417"/>
      <c r="Z66" s="417"/>
      <c r="AA66" s="417"/>
      <c r="AB66" s="417"/>
      <c r="AC66" s="417"/>
      <c r="AD66" s="417"/>
      <c r="AE66" s="418"/>
      <c r="AF66" s="151"/>
      <c r="AG66" s="151"/>
      <c r="AH66" s="148"/>
      <c r="AI66" s="148"/>
      <c r="AJ66" s="148"/>
      <c r="AK66" s="148"/>
      <c r="AL66" s="148"/>
      <c r="AM66" s="148"/>
      <c r="AQ66" s="126"/>
      <c r="AR66" s="126"/>
      <c r="AS66" s="126"/>
      <c r="AT66" s="126"/>
      <c r="BA66" s="113"/>
      <c r="BS66" s="4"/>
      <c r="BT66" s="5"/>
      <c r="BU66" s="5"/>
      <c r="BV66" s="6"/>
    </row>
    <row r="67" spans="2:74" ht="15.75">
      <c r="B67" s="153">
        <v>43147</v>
      </c>
      <c r="C67" s="416" t="s">
        <v>154</v>
      </c>
      <c r="D67" s="417"/>
      <c r="E67" s="417"/>
      <c r="F67" s="417"/>
      <c r="G67" s="417"/>
      <c r="H67" s="417"/>
      <c r="I67" s="417"/>
      <c r="J67" s="417"/>
      <c r="K67" s="417"/>
      <c r="L67" s="417"/>
      <c r="M67" s="417"/>
      <c r="N67" s="417"/>
      <c r="O67" s="417"/>
      <c r="P67" s="417"/>
      <c r="Q67" s="417"/>
      <c r="R67" s="417"/>
      <c r="S67" s="417"/>
      <c r="T67" s="417"/>
      <c r="U67" s="417"/>
      <c r="V67" s="417"/>
      <c r="W67" s="417"/>
      <c r="X67" s="417"/>
      <c r="Y67" s="417"/>
      <c r="Z67" s="417"/>
      <c r="AA67" s="417"/>
      <c r="AB67" s="417"/>
      <c r="AC67" s="417"/>
      <c r="AD67" s="417"/>
      <c r="AE67" s="418"/>
      <c r="AF67" s="151"/>
      <c r="AG67" s="151"/>
      <c r="AH67" s="148"/>
      <c r="AI67" s="148"/>
      <c r="AJ67" s="148"/>
      <c r="AK67" s="148"/>
      <c r="AL67" s="148"/>
      <c r="AM67" s="148"/>
      <c r="AQ67" s="126"/>
      <c r="AR67" s="126"/>
      <c r="AS67" s="126"/>
      <c r="AT67" s="126"/>
      <c r="BA67" s="113"/>
      <c r="BS67" s="4"/>
      <c r="BT67" s="5"/>
      <c r="BU67" s="5"/>
      <c r="BV67" s="6"/>
    </row>
    <row r="68" spans="2:74" ht="15.75">
      <c r="B68" s="153">
        <v>43148</v>
      </c>
      <c r="C68" s="416" t="s">
        <v>155</v>
      </c>
      <c r="D68" s="417"/>
      <c r="E68" s="417"/>
      <c r="F68" s="417"/>
      <c r="G68" s="417"/>
      <c r="H68" s="417"/>
      <c r="I68" s="417"/>
      <c r="J68" s="417"/>
      <c r="K68" s="417"/>
      <c r="L68" s="417"/>
      <c r="M68" s="417"/>
      <c r="N68" s="417"/>
      <c r="O68" s="417"/>
      <c r="P68" s="417"/>
      <c r="Q68" s="417"/>
      <c r="R68" s="417"/>
      <c r="S68" s="417"/>
      <c r="T68" s="417"/>
      <c r="U68" s="417"/>
      <c r="V68" s="417"/>
      <c r="W68" s="417"/>
      <c r="X68" s="417"/>
      <c r="Y68" s="417"/>
      <c r="Z68" s="417"/>
      <c r="AA68" s="417"/>
      <c r="AB68" s="417"/>
      <c r="AC68" s="417"/>
      <c r="AD68" s="417"/>
      <c r="AE68" s="418"/>
      <c r="AF68" s="151"/>
      <c r="AG68" s="151"/>
      <c r="AH68" s="148"/>
      <c r="AI68" s="148"/>
      <c r="AJ68" s="148"/>
      <c r="AK68" s="148"/>
      <c r="AL68" s="148"/>
      <c r="AM68" s="148"/>
      <c r="AQ68" s="126"/>
      <c r="AR68" s="126"/>
      <c r="AS68" s="126"/>
      <c r="AT68" s="126"/>
      <c r="BA68" s="113"/>
      <c r="BS68" s="4"/>
      <c r="BT68" s="5"/>
      <c r="BU68" s="5"/>
      <c r="BV68" s="6"/>
    </row>
    <row r="69" spans="2:74" ht="15.75">
      <c r="B69" s="153">
        <v>43149</v>
      </c>
      <c r="C69" s="416" t="s">
        <v>156</v>
      </c>
      <c r="D69" s="417"/>
      <c r="E69" s="417"/>
      <c r="F69" s="417"/>
      <c r="G69" s="417"/>
      <c r="H69" s="417"/>
      <c r="I69" s="417"/>
      <c r="J69" s="417"/>
      <c r="K69" s="417"/>
      <c r="L69" s="417"/>
      <c r="M69" s="417"/>
      <c r="N69" s="417"/>
      <c r="O69" s="417"/>
      <c r="P69" s="417"/>
      <c r="Q69" s="417"/>
      <c r="R69" s="417"/>
      <c r="S69" s="417"/>
      <c r="T69" s="417"/>
      <c r="U69" s="417"/>
      <c r="V69" s="417"/>
      <c r="W69" s="417"/>
      <c r="X69" s="417"/>
      <c r="Y69" s="417"/>
      <c r="Z69" s="417"/>
      <c r="AA69" s="417"/>
      <c r="AB69" s="417"/>
      <c r="AC69" s="417"/>
      <c r="AD69" s="417"/>
      <c r="AE69" s="418"/>
      <c r="AF69" s="151"/>
      <c r="AG69" s="151"/>
      <c r="AH69" s="148"/>
      <c r="AI69" s="148"/>
      <c r="AJ69" s="148"/>
      <c r="AK69" s="148"/>
      <c r="AL69" s="148"/>
      <c r="AM69" s="148"/>
      <c r="AQ69" s="126"/>
      <c r="AR69" s="126"/>
      <c r="AS69" s="126"/>
      <c r="AT69" s="126"/>
      <c r="BA69" s="113"/>
      <c r="BS69" s="4"/>
      <c r="BT69" s="5"/>
      <c r="BU69" s="5"/>
      <c r="BV69" s="6"/>
    </row>
    <row r="70" spans="2:74" ht="15.75">
      <c r="B70" s="153">
        <v>43150</v>
      </c>
      <c r="C70" s="416" t="s">
        <v>157</v>
      </c>
      <c r="D70" s="417"/>
      <c r="E70" s="417"/>
      <c r="F70" s="417"/>
      <c r="G70" s="417"/>
      <c r="H70" s="417"/>
      <c r="I70" s="417"/>
      <c r="J70" s="417"/>
      <c r="K70" s="417"/>
      <c r="L70" s="417"/>
      <c r="M70" s="417"/>
      <c r="N70" s="417"/>
      <c r="O70" s="417"/>
      <c r="P70" s="417"/>
      <c r="Q70" s="417"/>
      <c r="R70" s="417"/>
      <c r="S70" s="417"/>
      <c r="T70" s="417"/>
      <c r="U70" s="417"/>
      <c r="V70" s="417"/>
      <c r="W70" s="417"/>
      <c r="X70" s="417"/>
      <c r="Y70" s="417"/>
      <c r="Z70" s="417"/>
      <c r="AA70" s="417"/>
      <c r="AB70" s="417"/>
      <c r="AC70" s="417"/>
      <c r="AD70" s="417"/>
      <c r="AE70" s="418"/>
      <c r="AF70" s="151"/>
      <c r="AG70" s="151"/>
      <c r="AH70" s="148"/>
      <c r="AI70" s="148"/>
      <c r="AJ70" s="148"/>
      <c r="AK70" s="148"/>
      <c r="AL70" s="148"/>
      <c r="AM70" s="148"/>
      <c r="AQ70" s="126"/>
      <c r="AR70" s="126"/>
      <c r="AS70" s="126"/>
      <c r="AT70" s="126"/>
      <c r="BA70" s="113"/>
      <c r="BS70" s="4"/>
      <c r="BT70" s="5"/>
      <c r="BU70" s="5"/>
      <c r="BV70" s="6"/>
    </row>
    <row r="71" spans="2:74" ht="15.75">
      <c r="B71" s="153">
        <v>43151</v>
      </c>
      <c r="C71" s="416" t="s">
        <v>123</v>
      </c>
      <c r="D71" s="417"/>
      <c r="E71" s="417"/>
      <c r="F71" s="417"/>
      <c r="G71" s="417"/>
      <c r="H71" s="417"/>
      <c r="I71" s="417"/>
      <c r="J71" s="417"/>
      <c r="K71" s="417"/>
      <c r="L71" s="417"/>
      <c r="M71" s="417"/>
      <c r="N71" s="417"/>
      <c r="O71" s="417"/>
      <c r="P71" s="417"/>
      <c r="Q71" s="417"/>
      <c r="R71" s="417"/>
      <c r="S71" s="417"/>
      <c r="T71" s="417"/>
      <c r="U71" s="417"/>
      <c r="V71" s="417"/>
      <c r="W71" s="417"/>
      <c r="X71" s="417"/>
      <c r="Y71" s="417"/>
      <c r="Z71" s="417"/>
      <c r="AA71" s="417"/>
      <c r="AB71" s="417"/>
      <c r="AC71" s="417"/>
      <c r="AD71" s="417"/>
      <c r="AE71" s="418"/>
      <c r="AF71" s="151"/>
      <c r="AG71" s="151"/>
      <c r="AH71" s="148"/>
      <c r="AI71" s="148"/>
      <c r="AJ71" s="148"/>
      <c r="AK71" s="148"/>
      <c r="AL71" s="148"/>
      <c r="AM71" s="148"/>
      <c r="AQ71" s="126"/>
      <c r="AR71" s="126"/>
      <c r="AS71" s="126"/>
      <c r="AT71" s="126"/>
      <c r="BA71" s="113"/>
      <c r="BS71" s="4"/>
      <c r="BT71" s="5"/>
      <c r="BU71" s="5"/>
      <c r="BV71" s="6"/>
    </row>
    <row r="72" spans="2:74" ht="15.75">
      <c r="B72" s="153">
        <v>43152</v>
      </c>
      <c r="C72" s="416" t="s">
        <v>158</v>
      </c>
      <c r="D72" s="417"/>
      <c r="E72" s="417"/>
      <c r="F72" s="417"/>
      <c r="G72" s="417"/>
      <c r="H72" s="417"/>
      <c r="I72" s="417"/>
      <c r="J72" s="417"/>
      <c r="K72" s="417"/>
      <c r="L72" s="417"/>
      <c r="M72" s="417"/>
      <c r="N72" s="417"/>
      <c r="O72" s="417"/>
      <c r="P72" s="417"/>
      <c r="Q72" s="417"/>
      <c r="R72" s="417"/>
      <c r="S72" s="417"/>
      <c r="T72" s="417"/>
      <c r="U72" s="417"/>
      <c r="V72" s="417"/>
      <c r="W72" s="417"/>
      <c r="X72" s="417"/>
      <c r="Y72" s="417"/>
      <c r="Z72" s="417"/>
      <c r="AA72" s="417"/>
      <c r="AB72" s="417"/>
      <c r="AC72" s="417"/>
      <c r="AD72" s="417"/>
      <c r="AE72" s="418"/>
      <c r="AF72" s="151"/>
      <c r="AG72" s="151"/>
      <c r="AH72" s="148"/>
      <c r="AI72" s="148"/>
      <c r="AJ72" s="148"/>
      <c r="AK72" s="148"/>
      <c r="AL72" s="148"/>
      <c r="AM72" s="148"/>
      <c r="AQ72" s="126"/>
      <c r="AR72" s="126"/>
      <c r="AS72" s="126"/>
      <c r="AT72" s="126"/>
      <c r="BA72" s="113"/>
      <c r="BS72" s="4"/>
      <c r="BT72" s="5"/>
      <c r="BU72" s="5"/>
      <c r="BV72" s="6"/>
    </row>
    <row r="73" spans="2:74" ht="15.75">
      <c r="B73" s="153">
        <v>43153</v>
      </c>
      <c r="C73" s="416" t="s">
        <v>123</v>
      </c>
      <c r="D73" s="417"/>
      <c r="E73" s="417"/>
      <c r="F73" s="417"/>
      <c r="G73" s="417"/>
      <c r="H73" s="417"/>
      <c r="I73" s="417"/>
      <c r="J73" s="417"/>
      <c r="K73" s="417"/>
      <c r="L73" s="417"/>
      <c r="M73" s="417"/>
      <c r="N73" s="417"/>
      <c r="O73" s="417"/>
      <c r="P73" s="417"/>
      <c r="Q73" s="417"/>
      <c r="R73" s="417"/>
      <c r="S73" s="417"/>
      <c r="T73" s="417"/>
      <c r="U73" s="417"/>
      <c r="V73" s="417"/>
      <c r="W73" s="417"/>
      <c r="X73" s="417"/>
      <c r="Y73" s="417"/>
      <c r="Z73" s="417"/>
      <c r="AA73" s="417"/>
      <c r="AB73" s="417"/>
      <c r="AC73" s="417"/>
      <c r="AD73" s="417"/>
      <c r="AE73" s="418"/>
      <c r="AF73" s="151"/>
      <c r="AG73" s="151"/>
      <c r="AH73" s="148"/>
      <c r="AI73" s="148"/>
      <c r="AJ73" s="148"/>
      <c r="AK73" s="148"/>
      <c r="AL73" s="148"/>
      <c r="AM73" s="148"/>
      <c r="AQ73" s="126"/>
      <c r="AR73" s="126"/>
      <c r="AS73" s="126"/>
      <c r="AT73" s="126"/>
      <c r="BA73" s="113"/>
      <c r="BS73" s="4"/>
      <c r="BT73" s="5"/>
      <c r="BU73" s="5"/>
      <c r="BV73" s="6"/>
    </row>
    <row r="74" spans="2:74" ht="15.75">
      <c r="B74" s="153">
        <v>43154</v>
      </c>
      <c r="C74" s="416" t="s">
        <v>123</v>
      </c>
      <c r="D74" s="417"/>
      <c r="E74" s="417"/>
      <c r="F74" s="417"/>
      <c r="G74" s="417"/>
      <c r="H74" s="417"/>
      <c r="I74" s="417"/>
      <c r="J74" s="417"/>
      <c r="K74" s="417"/>
      <c r="L74" s="417"/>
      <c r="M74" s="417"/>
      <c r="N74" s="417"/>
      <c r="O74" s="417"/>
      <c r="P74" s="417"/>
      <c r="Q74" s="417"/>
      <c r="R74" s="417"/>
      <c r="S74" s="417"/>
      <c r="T74" s="417"/>
      <c r="U74" s="417"/>
      <c r="V74" s="417"/>
      <c r="W74" s="417"/>
      <c r="X74" s="417"/>
      <c r="Y74" s="417"/>
      <c r="Z74" s="417"/>
      <c r="AA74" s="417"/>
      <c r="AB74" s="417"/>
      <c r="AC74" s="417"/>
      <c r="AD74" s="417"/>
      <c r="AE74" s="418"/>
      <c r="AF74" s="151"/>
      <c r="AG74" s="151"/>
      <c r="AH74" s="148"/>
      <c r="AI74" s="148"/>
      <c r="AJ74" s="148"/>
      <c r="AK74" s="148"/>
      <c r="AL74" s="148"/>
      <c r="AM74" s="148"/>
      <c r="AQ74" s="126"/>
      <c r="AR74" s="126"/>
      <c r="AS74" s="126"/>
      <c r="AT74" s="126"/>
      <c r="BA74" s="113"/>
      <c r="BS74" s="4"/>
      <c r="BT74" s="5"/>
      <c r="BU74" s="5"/>
      <c r="BV74" s="6"/>
    </row>
    <row r="75" spans="2:74" ht="15.75">
      <c r="B75" s="153">
        <v>43155</v>
      </c>
      <c r="C75" s="416" t="s">
        <v>123</v>
      </c>
      <c r="D75" s="417"/>
      <c r="E75" s="417"/>
      <c r="F75" s="417"/>
      <c r="G75" s="417"/>
      <c r="H75" s="417"/>
      <c r="I75" s="417"/>
      <c r="J75" s="417"/>
      <c r="K75" s="417"/>
      <c r="L75" s="417"/>
      <c r="M75" s="417"/>
      <c r="N75" s="417"/>
      <c r="O75" s="417"/>
      <c r="P75" s="417"/>
      <c r="Q75" s="417"/>
      <c r="R75" s="417"/>
      <c r="S75" s="417"/>
      <c r="T75" s="417"/>
      <c r="U75" s="417"/>
      <c r="V75" s="417"/>
      <c r="W75" s="417"/>
      <c r="X75" s="417"/>
      <c r="Y75" s="417"/>
      <c r="Z75" s="417"/>
      <c r="AA75" s="417"/>
      <c r="AB75" s="417"/>
      <c r="AC75" s="417"/>
      <c r="AD75" s="417"/>
      <c r="AE75" s="418"/>
      <c r="AF75" s="151"/>
      <c r="AG75" s="151"/>
      <c r="AH75" s="148"/>
      <c r="AI75" s="148"/>
      <c r="AJ75" s="148"/>
      <c r="AK75" s="148"/>
      <c r="AL75" s="148"/>
      <c r="AM75" s="148"/>
      <c r="AQ75" s="126"/>
      <c r="AR75" s="126"/>
      <c r="AS75" s="126"/>
      <c r="AT75" s="126"/>
      <c r="BA75" s="113"/>
      <c r="BS75" s="4"/>
      <c r="BT75" s="5"/>
      <c r="BU75" s="5"/>
      <c r="BV75" s="6"/>
    </row>
    <row r="76" spans="2:74" ht="15.75">
      <c r="B76" s="153">
        <v>43156</v>
      </c>
      <c r="C76" s="416" t="s">
        <v>159</v>
      </c>
      <c r="D76" s="417"/>
      <c r="E76" s="417"/>
      <c r="F76" s="417"/>
      <c r="G76" s="417"/>
      <c r="H76" s="417"/>
      <c r="I76" s="417"/>
      <c r="J76" s="417"/>
      <c r="K76" s="417"/>
      <c r="L76" s="417"/>
      <c r="M76" s="417"/>
      <c r="N76" s="417"/>
      <c r="O76" s="417"/>
      <c r="P76" s="417"/>
      <c r="Q76" s="417"/>
      <c r="R76" s="417"/>
      <c r="S76" s="417"/>
      <c r="T76" s="417"/>
      <c r="U76" s="417"/>
      <c r="V76" s="417"/>
      <c r="W76" s="417"/>
      <c r="X76" s="417"/>
      <c r="Y76" s="417"/>
      <c r="Z76" s="417"/>
      <c r="AA76" s="417"/>
      <c r="AB76" s="417"/>
      <c r="AC76" s="417"/>
      <c r="AD76" s="417"/>
      <c r="AE76" s="418"/>
      <c r="AF76" s="151"/>
      <c r="AG76" s="151"/>
      <c r="AH76" s="148"/>
      <c r="AI76" s="148"/>
      <c r="AJ76" s="148"/>
      <c r="AK76" s="148"/>
      <c r="AL76" s="148"/>
      <c r="AM76" s="148"/>
      <c r="AQ76" s="126"/>
      <c r="AR76" s="126"/>
      <c r="AS76" s="126"/>
      <c r="AT76" s="126"/>
      <c r="BA76" s="113"/>
      <c r="BS76" s="4"/>
      <c r="BT76" s="5"/>
      <c r="BU76" s="5"/>
      <c r="BV76" s="6"/>
    </row>
    <row r="77" spans="2:74" ht="15.75">
      <c r="B77" s="153">
        <v>43157</v>
      </c>
      <c r="C77" s="416" t="s">
        <v>160</v>
      </c>
      <c r="D77" s="417"/>
      <c r="E77" s="417"/>
      <c r="F77" s="417"/>
      <c r="G77" s="417"/>
      <c r="H77" s="417"/>
      <c r="I77" s="417"/>
      <c r="J77" s="417"/>
      <c r="K77" s="417"/>
      <c r="L77" s="417"/>
      <c r="M77" s="417"/>
      <c r="N77" s="417"/>
      <c r="O77" s="417"/>
      <c r="P77" s="417"/>
      <c r="Q77" s="417"/>
      <c r="R77" s="417"/>
      <c r="S77" s="417"/>
      <c r="T77" s="417"/>
      <c r="U77" s="417"/>
      <c r="V77" s="417"/>
      <c r="W77" s="417"/>
      <c r="X77" s="417"/>
      <c r="Y77" s="417"/>
      <c r="Z77" s="417"/>
      <c r="AA77" s="417"/>
      <c r="AB77" s="417"/>
      <c r="AC77" s="417"/>
      <c r="AD77" s="417"/>
      <c r="AE77" s="418"/>
      <c r="AF77" s="151"/>
      <c r="AG77" s="151"/>
      <c r="AH77" s="148"/>
      <c r="AI77" s="148"/>
      <c r="AJ77" s="148"/>
      <c r="AK77" s="148"/>
      <c r="AL77" s="148"/>
      <c r="AM77" s="148"/>
      <c r="AQ77" s="126"/>
      <c r="AR77" s="126"/>
      <c r="AS77" s="126"/>
      <c r="AT77" s="126"/>
      <c r="BA77" s="113"/>
      <c r="BS77" s="4"/>
      <c r="BT77" s="5"/>
      <c r="BU77" s="5"/>
      <c r="BV77" s="6"/>
    </row>
    <row r="78" spans="2:74" ht="15.75" customHeight="1">
      <c r="B78" s="153">
        <v>43158</v>
      </c>
      <c r="C78" s="416" t="s">
        <v>161</v>
      </c>
      <c r="D78" s="417"/>
      <c r="E78" s="417"/>
      <c r="F78" s="417"/>
      <c r="G78" s="417"/>
      <c r="H78" s="417"/>
      <c r="I78" s="417"/>
      <c r="J78" s="417"/>
      <c r="K78" s="417"/>
      <c r="L78" s="417"/>
      <c r="M78" s="417"/>
      <c r="N78" s="417"/>
      <c r="O78" s="417"/>
      <c r="P78" s="417"/>
      <c r="Q78" s="417"/>
      <c r="R78" s="417"/>
      <c r="S78" s="417"/>
      <c r="T78" s="417"/>
      <c r="U78" s="417"/>
      <c r="V78" s="417"/>
      <c r="W78" s="417"/>
      <c r="X78" s="417"/>
      <c r="Y78" s="417"/>
      <c r="Z78" s="417"/>
      <c r="AA78" s="417"/>
      <c r="AB78" s="417"/>
      <c r="AC78" s="417"/>
      <c r="AD78" s="417"/>
      <c r="AE78" s="418"/>
      <c r="AF78" s="151"/>
      <c r="AG78" s="151"/>
      <c r="AH78" s="148"/>
      <c r="AI78" s="148"/>
      <c r="AJ78" s="148"/>
      <c r="AK78" s="148"/>
      <c r="AL78" s="148"/>
      <c r="AM78" s="148"/>
      <c r="AQ78" s="126"/>
      <c r="AR78" s="126"/>
      <c r="AS78" s="126"/>
      <c r="AT78" s="126"/>
      <c r="BA78" s="113"/>
      <c r="BS78" s="4"/>
      <c r="BT78" s="5"/>
      <c r="BU78" s="5"/>
      <c r="BV78" s="6"/>
    </row>
    <row r="79" spans="2:74" ht="15.75">
      <c r="B79" s="153">
        <v>43159</v>
      </c>
      <c r="C79" s="416" t="s">
        <v>123</v>
      </c>
      <c r="D79" s="417"/>
      <c r="E79" s="417"/>
      <c r="F79" s="417"/>
      <c r="G79" s="417"/>
      <c r="H79" s="417"/>
      <c r="I79" s="417"/>
      <c r="J79" s="417"/>
      <c r="K79" s="417"/>
      <c r="L79" s="417"/>
      <c r="M79" s="417"/>
      <c r="N79" s="417"/>
      <c r="O79" s="417"/>
      <c r="P79" s="417"/>
      <c r="Q79" s="417"/>
      <c r="R79" s="417"/>
      <c r="S79" s="417"/>
      <c r="T79" s="417"/>
      <c r="U79" s="417"/>
      <c r="V79" s="417"/>
      <c r="W79" s="417"/>
      <c r="X79" s="417"/>
      <c r="Y79" s="417"/>
      <c r="Z79" s="417"/>
      <c r="AA79" s="417"/>
      <c r="AB79" s="417"/>
      <c r="AC79" s="417"/>
      <c r="AD79" s="417"/>
      <c r="AE79" s="418"/>
      <c r="AF79" s="151"/>
      <c r="AG79" s="151"/>
      <c r="AH79" s="148"/>
      <c r="AI79" s="148"/>
      <c r="AJ79" s="148"/>
      <c r="AK79" s="148"/>
      <c r="AL79" s="148"/>
      <c r="AM79" s="148"/>
      <c r="AQ79" s="126"/>
      <c r="AR79" s="126"/>
      <c r="AS79" s="126"/>
      <c r="AT79" s="126"/>
      <c r="BA79" s="113"/>
      <c r="BS79" s="4"/>
      <c r="BT79" s="5"/>
      <c r="BU79" s="5"/>
      <c r="BV79" s="6"/>
    </row>
  </sheetData>
  <mergeCells count="113">
    <mergeCell ref="C76:AE76"/>
    <mergeCell ref="C77:AE77"/>
    <mergeCell ref="C78:AE78"/>
    <mergeCell ref="C79:AE79"/>
    <mergeCell ref="C70:AE70"/>
    <mergeCell ref="C71:AE71"/>
    <mergeCell ref="C72:AE72"/>
    <mergeCell ref="C73:AE73"/>
    <mergeCell ref="C74:AE74"/>
    <mergeCell ref="C75:AE75"/>
    <mergeCell ref="C64:AE64"/>
    <mergeCell ref="C65:AE65"/>
    <mergeCell ref="C66:AE66"/>
    <mergeCell ref="C67:AE67"/>
    <mergeCell ref="C68:AE68"/>
    <mergeCell ref="C69:AE69"/>
    <mergeCell ref="C58:AE58"/>
    <mergeCell ref="C59:AE59"/>
    <mergeCell ref="C60:AE60"/>
    <mergeCell ref="C61:AE61"/>
    <mergeCell ref="C62:AE62"/>
    <mergeCell ref="C63:AE63"/>
    <mergeCell ref="C52:AE52"/>
    <mergeCell ref="C53:AE53"/>
    <mergeCell ref="C54:AE54"/>
    <mergeCell ref="C55:AE55"/>
    <mergeCell ref="C56:AE56"/>
    <mergeCell ref="C57:AE57"/>
    <mergeCell ref="H43:I43"/>
    <mergeCell ref="J43:K43"/>
    <mergeCell ref="L43:M43"/>
    <mergeCell ref="N43:O43"/>
    <mergeCell ref="P43:Q43"/>
    <mergeCell ref="C51:AE51"/>
    <mergeCell ref="A5:A11"/>
    <mergeCell ref="A12:A18"/>
    <mergeCell ref="A19:A25"/>
    <mergeCell ref="A26:A32"/>
    <mergeCell ref="A33:A39"/>
    <mergeCell ref="F43:G43"/>
    <mergeCell ref="CB2:CB4"/>
    <mergeCell ref="CD2:CE2"/>
    <mergeCell ref="CF2:CG2"/>
    <mergeCell ref="H3:I3"/>
    <mergeCell ref="J3:K3"/>
    <mergeCell ref="L3:M3"/>
    <mergeCell ref="N3:O3"/>
    <mergeCell ref="BH3:BH4"/>
    <mergeCell ref="BI3:BI4"/>
    <mergeCell ref="BK3:BK4"/>
    <mergeCell ref="BR2:BR4"/>
    <mergeCell ref="BT2:BT4"/>
    <mergeCell ref="BU2:BU4"/>
    <mergeCell ref="BX2:BX4"/>
    <mergeCell ref="BY2:BY4"/>
    <mergeCell ref="CA2:CA4"/>
    <mergeCell ref="BW3:BW4"/>
    <mergeCell ref="BE2:BE4"/>
    <mergeCell ref="BF2:BF4"/>
    <mergeCell ref="BG2:BG4"/>
    <mergeCell ref="BL2:BM2"/>
    <mergeCell ref="BP2:BP4"/>
    <mergeCell ref="BQ2:BQ4"/>
    <mergeCell ref="BL3:BL4"/>
    <mergeCell ref="BM3:BM4"/>
    <mergeCell ref="BN3:BN4"/>
    <mergeCell ref="BO3:BO4"/>
    <mergeCell ref="AX2:AX4"/>
    <mergeCell ref="AY2:AY4"/>
    <mergeCell ref="AZ2:AZ4"/>
    <mergeCell ref="BB2:BB4"/>
    <mergeCell ref="BC2:BC4"/>
    <mergeCell ref="BD2:BD4"/>
    <mergeCell ref="AQ2:AQ4"/>
    <mergeCell ref="AR2:AR4"/>
    <mergeCell ref="AT2:AT4"/>
    <mergeCell ref="AU2:AU4"/>
    <mergeCell ref="AV2:AV4"/>
    <mergeCell ref="AW2:AW4"/>
    <mergeCell ref="AK2:AK4"/>
    <mergeCell ref="AL2:AL4"/>
    <mergeCell ref="AM2:AM4"/>
    <mergeCell ref="AN2:AN4"/>
    <mergeCell ref="AO2:AO4"/>
    <mergeCell ref="AP2:AP4"/>
    <mergeCell ref="AE2:AE4"/>
    <mergeCell ref="AF2:AF4"/>
    <mergeCell ref="AG2:AG4"/>
    <mergeCell ref="AH2:AH4"/>
    <mergeCell ref="AI2:AI4"/>
    <mergeCell ref="AJ2:AJ4"/>
    <mergeCell ref="B1:AG1"/>
    <mergeCell ref="B2:B4"/>
    <mergeCell ref="C2:C4"/>
    <mergeCell ref="D2:D4"/>
    <mergeCell ref="E2:E4"/>
    <mergeCell ref="F2:G3"/>
    <mergeCell ref="H2:K2"/>
    <mergeCell ref="L2:O2"/>
    <mergeCell ref="P2:Q3"/>
    <mergeCell ref="R2:R4"/>
    <mergeCell ref="Y2:Y4"/>
    <mergeCell ref="Z2:Z4"/>
    <mergeCell ref="AA2:AA4"/>
    <mergeCell ref="AB2:AB4"/>
    <mergeCell ref="AC2:AC4"/>
    <mergeCell ref="AD2:AD4"/>
    <mergeCell ref="S2:S4"/>
    <mergeCell ref="T2:T4"/>
    <mergeCell ref="U2:U4"/>
    <mergeCell ref="V2:V4"/>
    <mergeCell ref="W2:W4"/>
    <mergeCell ref="X2:X4"/>
  </mergeCells>
  <conditionalFormatting sqref="R12:T14">
    <cfRule type="cellIs" dxfId="3" priority="1" stopIfTrue="1" operator="greaterThan">
      <formula>3768</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CG82"/>
  <sheetViews>
    <sheetView zoomScale="90" zoomScaleNormal="90" workbookViewId="0">
      <pane xSplit="2" ySplit="7" topLeftCell="C62" activePane="bottomRight" state="frozen"/>
      <selection pane="topRight" activeCell="C1" sqref="C1"/>
      <selection pane="bottomLeft" activeCell="A8" sqref="A8"/>
      <selection pane="bottomRight" activeCell="AA40" sqref="AA40"/>
    </sheetView>
  </sheetViews>
  <sheetFormatPr defaultRowHeight="15"/>
  <cols>
    <col min="2" max="2" width="10.7109375" customWidth="1"/>
    <col min="18" max="18" width="10" bestFit="1" customWidth="1"/>
    <col min="21" max="21" width="9.28515625" bestFit="1" customWidth="1"/>
    <col min="39" max="39" width="10.42578125" customWidth="1"/>
    <col min="42" max="42" width="10.140625" customWidth="1"/>
    <col min="72" max="72" width="10.28515625" customWidth="1"/>
    <col min="73" max="73" width="10.140625" customWidth="1"/>
  </cols>
  <sheetData>
    <row r="1" spans="1:85" ht="18.75" thickBot="1">
      <c r="B1" s="490">
        <v>43160</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7"/>
      <c r="AI1" s="7"/>
      <c r="AJ1" s="7"/>
      <c r="AK1" s="8"/>
      <c r="AL1" s="8"/>
      <c r="AM1" s="8"/>
      <c r="AN1" s="8"/>
      <c r="AO1" s="8"/>
      <c r="AP1" s="8"/>
      <c r="AQ1" s="8"/>
      <c r="AR1" s="8"/>
      <c r="AS1" s="9"/>
      <c r="AT1" s="10"/>
      <c r="AU1" s="10"/>
      <c r="AV1" s="10"/>
      <c r="AW1" s="10"/>
      <c r="AX1" s="10"/>
      <c r="AY1" s="11"/>
      <c r="AZ1" s="11"/>
      <c r="BA1" s="4"/>
      <c r="BS1" s="4"/>
      <c r="BT1" s="5"/>
      <c r="BU1" s="5"/>
      <c r="BV1" s="6"/>
    </row>
    <row r="2" spans="1:85" ht="30.75" thickBot="1">
      <c r="A2" s="12"/>
      <c r="B2" s="491" t="s">
        <v>1</v>
      </c>
      <c r="C2" s="442" t="s">
        <v>2</v>
      </c>
      <c r="D2" s="494" t="s">
        <v>3</v>
      </c>
      <c r="E2" s="442" t="s">
        <v>130</v>
      </c>
      <c r="F2" s="497" t="s">
        <v>4</v>
      </c>
      <c r="G2" s="498"/>
      <c r="H2" s="477" t="s">
        <v>5</v>
      </c>
      <c r="I2" s="501"/>
      <c r="J2" s="501"/>
      <c r="K2" s="480"/>
      <c r="L2" s="477" t="s">
        <v>6</v>
      </c>
      <c r="M2" s="501"/>
      <c r="N2" s="501"/>
      <c r="O2" s="480"/>
      <c r="P2" s="502" t="s">
        <v>7</v>
      </c>
      <c r="Q2" s="503"/>
      <c r="R2" s="506" t="s">
        <v>8</v>
      </c>
      <c r="S2" s="422" t="s">
        <v>9</v>
      </c>
      <c r="T2" s="425" t="s">
        <v>10</v>
      </c>
      <c r="U2" s="433" t="s">
        <v>11</v>
      </c>
      <c r="V2" s="436" t="s">
        <v>12</v>
      </c>
      <c r="W2" s="439" t="s">
        <v>13</v>
      </c>
      <c r="X2" s="439" t="s">
        <v>14</v>
      </c>
      <c r="Y2" s="439" t="s">
        <v>15</v>
      </c>
      <c r="Z2" s="439" t="s">
        <v>16</v>
      </c>
      <c r="AA2" s="439" t="s">
        <v>17</v>
      </c>
      <c r="AB2" s="439" t="s">
        <v>18</v>
      </c>
      <c r="AC2" s="515" t="s">
        <v>19</v>
      </c>
      <c r="AD2" s="512" t="s">
        <v>20</v>
      </c>
      <c r="AE2" s="509" t="s">
        <v>21</v>
      </c>
      <c r="AF2" s="512" t="s">
        <v>22</v>
      </c>
      <c r="AG2" s="465" t="s">
        <v>23</v>
      </c>
      <c r="AH2" s="465" t="s">
        <v>24</v>
      </c>
      <c r="AI2" s="465" t="s">
        <v>25</v>
      </c>
      <c r="AJ2" s="468" t="s">
        <v>26</v>
      </c>
      <c r="AK2" s="518" t="s">
        <v>27</v>
      </c>
      <c r="AL2" s="419" t="s">
        <v>28</v>
      </c>
      <c r="AM2" s="468" t="s">
        <v>29</v>
      </c>
      <c r="AN2" s="419" t="s">
        <v>30</v>
      </c>
      <c r="AO2" s="419" t="s">
        <v>31</v>
      </c>
      <c r="AP2" s="468" t="s">
        <v>32</v>
      </c>
      <c r="AQ2" s="471" t="s">
        <v>33</v>
      </c>
      <c r="AR2" s="459" t="s">
        <v>34</v>
      </c>
      <c r="AS2" s="13"/>
      <c r="AT2" s="462" t="s">
        <v>35</v>
      </c>
      <c r="AU2" s="447" t="s">
        <v>36</v>
      </c>
      <c r="AV2" s="447" t="s">
        <v>37</v>
      </c>
      <c r="AW2" s="447" t="s">
        <v>38</v>
      </c>
      <c r="AX2" s="447" t="s">
        <v>39</v>
      </c>
      <c r="AY2" s="447" t="s">
        <v>40</v>
      </c>
      <c r="AZ2" s="447" t="s">
        <v>41</v>
      </c>
      <c r="BA2" s="4"/>
      <c r="BB2" s="447" t="s">
        <v>42</v>
      </c>
      <c r="BC2" s="447" t="s">
        <v>43</v>
      </c>
      <c r="BD2" s="447" t="s">
        <v>44</v>
      </c>
      <c r="BE2" s="447" t="s">
        <v>45</v>
      </c>
      <c r="BF2" s="447" t="s">
        <v>46</v>
      </c>
      <c r="BG2" s="447" t="s">
        <v>47</v>
      </c>
      <c r="BH2" s="14" t="s">
        <v>48</v>
      </c>
      <c r="BI2" s="14" t="s">
        <v>49</v>
      </c>
      <c r="BJ2" s="14" t="s">
        <v>50</v>
      </c>
      <c r="BK2" s="14" t="s">
        <v>51</v>
      </c>
      <c r="BL2" s="445" t="s">
        <v>52</v>
      </c>
      <c r="BM2" s="446"/>
      <c r="BN2" s="14" t="s">
        <v>53</v>
      </c>
      <c r="BO2" s="14" t="s">
        <v>54</v>
      </c>
      <c r="BP2" s="447" t="s">
        <v>55</v>
      </c>
      <c r="BQ2" s="484" t="s">
        <v>56</v>
      </c>
      <c r="BR2" s="484" t="s">
        <v>57</v>
      </c>
      <c r="BS2" s="15"/>
      <c r="BT2" s="481" t="s">
        <v>58</v>
      </c>
      <c r="BU2" s="481" t="s">
        <v>59</v>
      </c>
      <c r="BV2" s="6"/>
      <c r="BW2" s="14" t="s">
        <v>60</v>
      </c>
      <c r="BX2" s="447" t="s">
        <v>61</v>
      </c>
      <c r="BY2" s="447" t="s">
        <v>62</v>
      </c>
      <c r="CA2" s="474" t="s">
        <v>63</v>
      </c>
      <c r="CB2" s="474" t="s">
        <v>64</v>
      </c>
      <c r="CD2" s="487" t="s">
        <v>124</v>
      </c>
      <c r="CE2" s="488"/>
      <c r="CF2" s="487" t="s">
        <v>128</v>
      </c>
      <c r="CG2" s="488"/>
    </row>
    <row r="3" spans="1:85" ht="26.25" thickBot="1">
      <c r="A3" s="16"/>
      <c r="B3" s="492"/>
      <c r="C3" s="443"/>
      <c r="D3" s="495"/>
      <c r="E3" s="443"/>
      <c r="F3" s="499"/>
      <c r="G3" s="500"/>
      <c r="H3" s="477" t="s">
        <v>65</v>
      </c>
      <c r="I3" s="478"/>
      <c r="J3" s="479" t="s">
        <v>66</v>
      </c>
      <c r="K3" s="480"/>
      <c r="L3" s="477" t="s">
        <v>65</v>
      </c>
      <c r="M3" s="478"/>
      <c r="N3" s="479" t="s">
        <v>66</v>
      </c>
      <c r="O3" s="480"/>
      <c r="P3" s="504"/>
      <c r="Q3" s="505"/>
      <c r="R3" s="507"/>
      <c r="S3" s="423"/>
      <c r="T3" s="426"/>
      <c r="U3" s="434"/>
      <c r="V3" s="437"/>
      <c r="W3" s="440"/>
      <c r="X3" s="440"/>
      <c r="Y3" s="440"/>
      <c r="Z3" s="440"/>
      <c r="AA3" s="440"/>
      <c r="AB3" s="440"/>
      <c r="AC3" s="516"/>
      <c r="AD3" s="513"/>
      <c r="AE3" s="510"/>
      <c r="AF3" s="513"/>
      <c r="AG3" s="466"/>
      <c r="AH3" s="466"/>
      <c r="AI3" s="466"/>
      <c r="AJ3" s="469"/>
      <c r="AK3" s="519"/>
      <c r="AL3" s="420"/>
      <c r="AM3" s="469"/>
      <c r="AN3" s="420"/>
      <c r="AO3" s="420"/>
      <c r="AP3" s="469"/>
      <c r="AQ3" s="472"/>
      <c r="AR3" s="460"/>
      <c r="AS3" s="13"/>
      <c r="AT3" s="463"/>
      <c r="AU3" s="440"/>
      <c r="AV3" s="440"/>
      <c r="AW3" s="440"/>
      <c r="AX3" s="440"/>
      <c r="AY3" s="440"/>
      <c r="AZ3" s="440"/>
      <c r="BA3" s="4"/>
      <c r="BB3" s="440"/>
      <c r="BC3" s="440"/>
      <c r="BD3" s="440"/>
      <c r="BE3" s="440"/>
      <c r="BF3" s="440"/>
      <c r="BG3" s="440"/>
      <c r="BH3" s="457" t="s">
        <v>67</v>
      </c>
      <c r="BI3" s="457" t="s">
        <v>67</v>
      </c>
      <c r="BJ3" s="17" t="s">
        <v>68</v>
      </c>
      <c r="BK3" s="449" t="s">
        <v>69</v>
      </c>
      <c r="BL3" s="449" t="s">
        <v>69</v>
      </c>
      <c r="BM3" s="449" t="s">
        <v>70</v>
      </c>
      <c r="BN3" s="457" t="s">
        <v>71</v>
      </c>
      <c r="BO3" s="457" t="s">
        <v>72</v>
      </c>
      <c r="BP3" s="440"/>
      <c r="BQ3" s="485"/>
      <c r="BR3" s="485"/>
      <c r="BS3" s="15"/>
      <c r="BT3" s="482"/>
      <c r="BU3" s="482"/>
      <c r="BV3" s="6"/>
      <c r="BW3" s="457" t="s">
        <v>67</v>
      </c>
      <c r="BX3" s="440"/>
      <c r="BY3" s="440"/>
      <c r="CA3" s="475"/>
      <c r="CB3" s="475"/>
      <c r="CD3" s="211" t="s">
        <v>129</v>
      </c>
      <c r="CE3" s="210" t="s">
        <v>125</v>
      </c>
      <c r="CF3" s="211" t="s">
        <v>129</v>
      </c>
      <c r="CG3" s="210" t="s">
        <v>125</v>
      </c>
    </row>
    <row r="4" spans="1:85" ht="15.75" thickBot="1">
      <c r="A4" s="16"/>
      <c r="B4" s="493"/>
      <c r="C4" s="444"/>
      <c r="D4" s="496"/>
      <c r="E4" s="444"/>
      <c r="F4" s="18" t="s">
        <v>73</v>
      </c>
      <c r="G4" s="19" t="s">
        <v>74</v>
      </c>
      <c r="H4" s="244" t="s">
        <v>75</v>
      </c>
      <c r="I4" s="21" t="s">
        <v>76</v>
      </c>
      <c r="J4" s="21" t="s">
        <v>75</v>
      </c>
      <c r="K4" s="245" t="s">
        <v>76</v>
      </c>
      <c r="L4" s="23" t="s">
        <v>75</v>
      </c>
      <c r="M4" s="21" t="s">
        <v>76</v>
      </c>
      <c r="N4" s="21" t="s">
        <v>75</v>
      </c>
      <c r="O4" s="19" t="s">
        <v>76</v>
      </c>
      <c r="P4" s="21" t="s">
        <v>75</v>
      </c>
      <c r="Q4" s="19" t="s">
        <v>76</v>
      </c>
      <c r="R4" s="508"/>
      <c r="S4" s="424"/>
      <c r="T4" s="427"/>
      <c r="U4" s="435"/>
      <c r="V4" s="438"/>
      <c r="W4" s="441"/>
      <c r="X4" s="441"/>
      <c r="Y4" s="441"/>
      <c r="Z4" s="441"/>
      <c r="AA4" s="441"/>
      <c r="AB4" s="441"/>
      <c r="AC4" s="517"/>
      <c r="AD4" s="514"/>
      <c r="AE4" s="511"/>
      <c r="AF4" s="514"/>
      <c r="AG4" s="467"/>
      <c r="AH4" s="467"/>
      <c r="AI4" s="467"/>
      <c r="AJ4" s="470"/>
      <c r="AK4" s="520"/>
      <c r="AL4" s="421"/>
      <c r="AM4" s="470"/>
      <c r="AN4" s="421"/>
      <c r="AO4" s="421"/>
      <c r="AP4" s="470"/>
      <c r="AQ4" s="473"/>
      <c r="AR4" s="461"/>
      <c r="AS4" s="13"/>
      <c r="AT4" s="464"/>
      <c r="AU4" s="448"/>
      <c r="AV4" s="448"/>
      <c r="AW4" s="448"/>
      <c r="AX4" s="448"/>
      <c r="AY4" s="448"/>
      <c r="AZ4" s="448"/>
      <c r="BA4" s="4"/>
      <c r="BB4" s="448"/>
      <c r="BC4" s="448"/>
      <c r="BD4" s="448"/>
      <c r="BE4" s="448"/>
      <c r="BF4" s="448"/>
      <c r="BG4" s="448"/>
      <c r="BH4" s="458"/>
      <c r="BI4" s="458"/>
      <c r="BJ4" s="17" t="s">
        <v>77</v>
      </c>
      <c r="BK4" s="450"/>
      <c r="BL4" s="450"/>
      <c r="BM4" s="450"/>
      <c r="BN4" s="458"/>
      <c r="BO4" s="458"/>
      <c r="BP4" s="448"/>
      <c r="BQ4" s="486"/>
      <c r="BR4" s="486"/>
      <c r="BS4" s="15"/>
      <c r="BT4" s="483"/>
      <c r="BU4" s="483"/>
      <c r="BV4" s="6"/>
      <c r="BW4" s="458"/>
      <c r="BX4" s="448"/>
      <c r="BY4" s="448"/>
      <c r="CA4" s="476"/>
      <c r="CB4" s="476"/>
      <c r="CD4" s="213" t="s">
        <v>126</v>
      </c>
      <c r="CE4" s="212" t="s">
        <v>127</v>
      </c>
      <c r="CF4" s="213" t="s">
        <v>126</v>
      </c>
      <c r="CG4" s="212" t="s">
        <v>127</v>
      </c>
    </row>
    <row r="5" spans="1:85">
      <c r="A5" s="451" t="s">
        <v>144</v>
      </c>
      <c r="B5" s="24">
        <v>43157</v>
      </c>
      <c r="C5" s="25">
        <v>70.5</v>
      </c>
      <c r="D5" s="26">
        <v>0.66400000000000003</v>
      </c>
      <c r="E5" s="25">
        <v>60.3</v>
      </c>
      <c r="F5" s="27">
        <v>81</v>
      </c>
      <c r="G5" s="27">
        <v>60</v>
      </c>
      <c r="H5" s="28">
        <v>24</v>
      </c>
      <c r="I5" s="28">
        <v>0</v>
      </c>
      <c r="J5" s="28">
        <v>24</v>
      </c>
      <c r="K5" s="28">
        <v>0</v>
      </c>
      <c r="L5" s="29">
        <v>0</v>
      </c>
      <c r="M5" s="29">
        <v>0</v>
      </c>
      <c r="N5" s="29">
        <v>0</v>
      </c>
      <c r="O5" s="29">
        <v>0</v>
      </c>
      <c r="P5" s="29">
        <v>18</v>
      </c>
      <c r="Q5" s="29">
        <v>56</v>
      </c>
      <c r="R5" s="29">
        <v>3668</v>
      </c>
      <c r="S5" s="254">
        <v>3637</v>
      </c>
      <c r="T5" s="254">
        <v>3530</v>
      </c>
      <c r="U5" s="254">
        <v>3477</v>
      </c>
      <c r="V5" s="254">
        <v>3583</v>
      </c>
      <c r="W5" s="28">
        <v>45</v>
      </c>
      <c r="X5" s="28">
        <v>0</v>
      </c>
      <c r="Y5" s="28">
        <v>45</v>
      </c>
      <c r="Z5" s="28">
        <v>0</v>
      </c>
      <c r="AA5" s="28">
        <v>62</v>
      </c>
      <c r="AB5" s="27">
        <v>0</v>
      </c>
      <c r="AC5" s="32">
        <f t="shared" ref="AC5:AC39" si="0">V5-U5+AZ5</f>
        <v>106</v>
      </c>
      <c r="AD5" s="33">
        <f t="shared" ref="AD5:AD39" si="1">U5-T5</f>
        <v>-53</v>
      </c>
      <c r="AE5" s="27">
        <v>157</v>
      </c>
      <c r="AF5" s="34">
        <f t="shared" ref="AF5:AF39" si="2">IF(AE5&gt;0, V5/(AE5*24),"no data")</f>
        <v>0.95090233545647562</v>
      </c>
      <c r="AG5" s="35">
        <f t="shared" ref="AG5:AG39" si="3">IF(R5&gt;0,R5/24,"no data")</f>
        <v>152.83333333333334</v>
      </c>
      <c r="AH5" s="34">
        <f t="shared" ref="AH5:AH39" si="4">IF(U5&gt;0,(U5/R5),"no data")</f>
        <v>0.94792802617230099</v>
      </c>
      <c r="AI5" s="36">
        <f t="shared" ref="AI5:AI15" si="5">(1440-((W5*X5)+(Y5*Z5)+(AA5*AB5))/(W5+Y5+AA5))/1440</f>
        <v>1</v>
      </c>
      <c r="AJ5" s="37">
        <f t="shared" ref="AJ5:AJ39" si="6">IF(U5&gt;0,(1440-((X5*W5+AT5*AU5)+(Z5*Y5+AV5*AW5)+(AA5*AB5+AX5*AY5))/(W5+Y5+AA5))/1440,"no data")</f>
        <v>0.97916666666666663</v>
      </c>
      <c r="AK5" s="215">
        <v>10.41</v>
      </c>
      <c r="AL5" s="216">
        <v>134.38</v>
      </c>
      <c r="AM5" s="38">
        <f t="shared" ref="AM5:AM39" si="7">AK5*AL5</f>
        <v>1398.8958</v>
      </c>
      <c r="AN5" s="215">
        <v>29.98</v>
      </c>
      <c r="AO5" s="250">
        <v>965</v>
      </c>
      <c r="AP5" s="39">
        <f t="shared" ref="AP5:AP39" si="8">AN5*AO5</f>
        <v>28930.7</v>
      </c>
      <c r="AQ5" s="201">
        <f t="shared" ref="AQ5:AQ39" si="9">IF(U5&gt;0,((((AK5*AL5)+(AN5*AO5))/(U5*1000))*1000000),"no data")</f>
        <v>8722.9208513085978</v>
      </c>
      <c r="AR5" s="198">
        <f t="shared" ref="AR5:AR38" si="10">S5/24</f>
        <v>151.54166666666666</v>
      </c>
      <c r="AS5" s="13"/>
      <c r="AT5" s="27">
        <v>0</v>
      </c>
      <c r="AU5" s="40">
        <v>0</v>
      </c>
      <c r="AV5" s="40">
        <v>0</v>
      </c>
      <c r="AW5" s="27">
        <v>0</v>
      </c>
      <c r="AX5" s="40">
        <v>15</v>
      </c>
      <c r="AY5" s="27">
        <v>304</v>
      </c>
      <c r="AZ5" s="27">
        <v>0</v>
      </c>
      <c r="BA5" s="4"/>
      <c r="BB5" s="41">
        <v>1081</v>
      </c>
      <c r="BC5" s="41">
        <v>1085</v>
      </c>
      <c r="BD5" s="41">
        <v>1417</v>
      </c>
      <c r="BE5" s="41">
        <f t="shared" ref="BE5:BE39" si="11">BC5-BB5</f>
        <v>4</v>
      </c>
      <c r="BF5" s="41">
        <f t="shared" ref="BF5:BF41" si="12">AQ5</f>
        <v>8722.9208513085978</v>
      </c>
      <c r="BG5" s="42">
        <f t="shared" ref="BG5:BG39" si="13">BD5/24</f>
        <v>59.041666666666664</v>
      </c>
      <c r="BH5" s="43">
        <v>2.109</v>
      </c>
      <c r="BI5" s="44">
        <v>2.0779999999999998</v>
      </c>
      <c r="BJ5" s="45">
        <v>27.4</v>
      </c>
      <c r="BK5" s="46">
        <v>28.31</v>
      </c>
      <c r="BL5" s="45">
        <v>22.73</v>
      </c>
      <c r="BM5" s="45">
        <v>29.43</v>
      </c>
      <c r="BN5" s="47">
        <v>995.7</v>
      </c>
      <c r="BO5" s="45">
        <v>50.07</v>
      </c>
      <c r="BP5" s="48">
        <v>0.93759999999999999</v>
      </c>
      <c r="BQ5" s="46">
        <v>96</v>
      </c>
      <c r="BR5" s="45">
        <v>84.7</v>
      </c>
      <c r="BS5" s="49">
        <f t="shared" ref="BS5:BS39" si="14">BR5-BQ5</f>
        <v>-11.299999999999997</v>
      </c>
      <c r="BT5" s="41">
        <v>12625</v>
      </c>
      <c r="BU5" s="41">
        <v>12522</v>
      </c>
      <c r="BV5" s="206">
        <f t="shared" ref="BV5:BV39" si="15">BU5-BT5</f>
        <v>-103</v>
      </c>
      <c r="BW5" s="207">
        <f t="shared" ref="BW5:BW39" si="16">BH5+BI5</f>
        <v>4.1869999999999994</v>
      </c>
      <c r="BX5" s="42">
        <v>24</v>
      </c>
      <c r="BY5" s="42">
        <v>24</v>
      </c>
      <c r="CA5" s="42">
        <v>24</v>
      </c>
      <c r="CB5" s="42">
        <v>7.92</v>
      </c>
      <c r="CD5" s="42">
        <v>2.2000000000000002</v>
      </c>
      <c r="CE5" s="42">
        <v>3.6</v>
      </c>
      <c r="CF5" s="42">
        <v>1.8</v>
      </c>
      <c r="CG5" s="42">
        <v>1.5</v>
      </c>
    </row>
    <row r="6" spans="1:85">
      <c r="A6" s="452"/>
      <c r="B6" s="24">
        <v>43158</v>
      </c>
      <c r="C6" s="25">
        <v>73.2</v>
      </c>
      <c r="D6" s="26">
        <v>0.64</v>
      </c>
      <c r="E6" s="25">
        <v>61.9</v>
      </c>
      <c r="F6" s="27">
        <v>84</v>
      </c>
      <c r="G6" s="27">
        <v>61</v>
      </c>
      <c r="H6" s="28">
        <v>24</v>
      </c>
      <c r="I6" s="28">
        <v>0</v>
      </c>
      <c r="J6" s="28">
        <v>24</v>
      </c>
      <c r="K6" s="28">
        <v>0</v>
      </c>
      <c r="L6" s="29">
        <v>0</v>
      </c>
      <c r="M6" s="29">
        <v>0</v>
      </c>
      <c r="N6" s="29">
        <v>0</v>
      </c>
      <c r="O6" s="29">
        <v>0</v>
      </c>
      <c r="P6" s="29">
        <v>3</v>
      </c>
      <c r="Q6" s="29">
        <v>26</v>
      </c>
      <c r="R6" s="29">
        <v>3651</v>
      </c>
      <c r="S6" s="254">
        <v>3608</v>
      </c>
      <c r="T6" s="254">
        <v>3540</v>
      </c>
      <c r="U6" s="254">
        <v>3473</v>
      </c>
      <c r="V6" s="254">
        <v>3579</v>
      </c>
      <c r="W6" s="28">
        <v>45</v>
      </c>
      <c r="X6" s="28">
        <v>0</v>
      </c>
      <c r="Y6" s="28">
        <v>45</v>
      </c>
      <c r="Z6" s="28">
        <v>0</v>
      </c>
      <c r="AA6" s="28">
        <v>62</v>
      </c>
      <c r="AB6" s="27">
        <v>0</v>
      </c>
      <c r="AC6" s="32">
        <f t="shared" si="0"/>
        <v>106</v>
      </c>
      <c r="AD6" s="33">
        <f t="shared" si="1"/>
        <v>-67</v>
      </c>
      <c r="AE6" s="27">
        <v>154</v>
      </c>
      <c r="AF6" s="34">
        <f t="shared" si="2"/>
        <v>0.9683441558441559</v>
      </c>
      <c r="AG6" s="35">
        <f t="shared" si="3"/>
        <v>152.125</v>
      </c>
      <c r="AH6" s="34">
        <f t="shared" si="4"/>
        <v>0.95124623390851826</v>
      </c>
      <c r="AI6" s="36">
        <f t="shared" si="5"/>
        <v>1</v>
      </c>
      <c r="AJ6" s="37">
        <f t="shared" si="6"/>
        <v>0.98494152046783623</v>
      </c>
      <c r="AK6" s="215">
        <v>10.41</v>
      </c>
      <c r="AL6" s="230">
        <v>137.99</v>
      </c>
      <c r="AM6" s="38">
        <f t="shared" si="7"/>
        <v>1436.4759000000001</v>
      </c>
      <c r="AN6" s="215">
        <v>30.19</v>
      </c>
      <c r="AO6" s="250">
        <v>960</v>
      </c>
      <c r="AP6" s="39">
        <f t="shared" si="8"/>
        <v>28982.400000000001</v>
      </c>
      <c r="AQ6" s="201">
        <f t="shared" si="9"/>
        <v>8758.6743161531831</v>
      </c>
      <c r="AR6" s="198">
        <f t="shared" si="10"/>
        <v>150.33333333333334</v>
      </c>
      <c r="AS6" s="13"/>
      <c r="AT6" s="27">
        <v>0</v>
      </c>
      <c r="AU6" s="40">
        <v>0</v>
      </c>
      <c r="AV6" s="40">
        <v>0</v>
      </c>
      <c r="AW6" s="27">
        <v>0</v>
      </c>
      <c r="AX6" s="40">
        <v>16</v>
      </c>
      <c r="AY6" s="27">
        <v>206</v>
      </c>
      <c r="AZ6" s="27">
        <v>0</v>
      </c>
      <c r="BA6" s="4"/>
      <c r="BB6" s="41">
        <v>1071</v>
      </c>
      <c r="BC6" s="41">
        <v>1068</v>
      </c>
      <c r="BD6" s="41">
        <v>1440</v>
      </c>
      <c r="BE6" s="41">
        <f t="shared" si="11"/>
        <v>-3</v>
      </c>
      <c r="BF6" s="41">
        <f t="shared" si="12"/>
        <v>8758.6743161531831</v>
      </c>
      <c r="BG6" s="42">
        <f t="shared" si="13"/>
        <v>60</v>
      </c>
      <c r="BH6" s="43">
        <v>2.3010000000000002</v>
      </c>
      <c r="BI6" s="44">
        <v>2.2949999999999999</v>
      </c>
      <c r="BJ6" s="45">
        <v>27.2</v>
      </c>
      <c r="BK6" s="45">
        <v>28.18</v>
      </c>
      <c r="BL6" s="46">
        <v>22.5</v>
      </c>
      <c r="BM6" s="45">
        <v>29.29</v>
      </c>
      <c r="BN6" s="47">
        <v>993.5</v>
      </c>
      <c r="BO6" s="45">
        <v>50.05</v>
      </c>
      <c r="BP6" s="48">
        <v>0.9375</v>
      </c>
      <c r="BQ6" s="52">
        <v>95.88</v>
      </c>
      <c r="BR6" s="45">
        <v>84.72</v>
      </c>
      <c r="BS6" s="49">
        <f t="shared" si="14"/>
        <v>-11.159999999999997</v>
      </c>
      <c r="BT6" s="41">
        <v>12368</v>
      </c>
      <c r="BU6" s="41">
        <v>12192</v>
      </c>
      <c r="BV6" s="206">
        <f t="shared" si="15"/>
        <v>-176</v>
      </c>
      <c r="BW6" s="207">
        <f t="shared" si="16"/>
        <v>4.5960000000000001</v>
      </c>
      <c r="BX6" s="42">
        <v>24</v>
      </c>
      <c r="BY6" s="42">
        <v>24</v>
      </c>
      <c r="CA6" s="42">
        <v>24</v>
      </c>
      <c r="CB6" s="42">
        <v>10.85</v>
      </c>
      <c r="CD6" s="42">
        <v>2.1</v>
      </c>
      <c r="CE6" s="42">
        <v>3.4</v>
      </c>
      <c r="CF6" s="42">
        <v>1.8</v>
      </c>
      <c r="CG6" s="42">
        <v>1.5</v>
      </c>
    </row>
    <row r="7" spans="1:85">
      <c r="A7" s="452"/>
      <c r="B7" s="24">
        <v>43159</v>
      </c>
      <c r="C7" s="25">
        <v>73.8</v>
      </c>
      <c r="D7" s="26">
        <v>0.63900000000000001</v>
      </c>
      <c r="E7" s="25">
        <v>62.3</v>
      </c>
      <c r="F7" s="27">
        <v>84</v>
      </c>
      <c r="G7" s="27">
        <v>64</v>
      </c>
      <c r="H7" s="28">
        <v>24</v>
      </c>
      <c r="I7" s="28">
        <v>0</v>
      </c>
      <c r="J7" s="28">
        <v>24</v>
      </c>
      <c r="K7" s="28">
        <v>0</v>
      </c>
      <c r="L7" s="29">
        <v>0</v>
      </c>
      <c r="M7" s="29">
        <v>0</v>
      </c>
      <c r="N7" s="29">
        <v>0</v>
      </c>
      <c r="O7" s="29">
        <v>0</v>
      </c>
      <c r="P7" s="29">
        <v>24</v>
      </c>
      <c r="Q7" s="29">
        <v>0</v>
      </c>
      <c r="R7" s="29">
        <v>3648</v>
      </c>
      <c r="S7" s="254">
        <v>3603</v>
      </c>
      <c r="T7" s="254">
        <v>3603</v>
      </c>
      <c r="U7" s="254">
        <v>3518</v>
      </c>
      <c r="V7" s="254">
        <v>3627</v>
      </c>
      <c r="W7" s="28">
        <v>44</v>
      </c>
      <c r="X7" s="28">
        <v>0</v>
      </c>
      <c r="Y7" s="28">
        <v>44</v>
      </c>
      <c r="Z7" s="28">
        <v>0</v>
      </c>
      <c r="AA7" s="28">
        <v>62</v>
      </c>
      <c r="AB7" s="27">
        <v>0</v>
      </c>
      <c r="AC7" s="32">
        <f t="shared" si="0"/>
        <v>109</v>
      </c>
      <c r="AD7" s="33">
        <f t="shared" si="1"/>
        <v>-85</v>
      </c>
      <c r="AE7" s="27">
        <v>154</v>
      </c>
      <c r="AF7" s="34">
        <f t="shared" si="2"/>
        <v>0.98133116883116878</v>
      </c>
      <c r="AG7" s="35">
        <f t="shared" si="3"/>
        <v>152</v>
      </c>
      <c r="AH7" s="34">
        <f t="shared" si="4"/>
        <v>0.96436403508771928</v>
      </c>
      <c r="AI7" s="36">
        <f t="shared" si="5"/>
        <v>1</v>
      </c>
      <c r="AJ7" s="37">
        <f t="shared" si="6"/>
        <v>1</v>
      </c>
      <c r="AK7" s="215">
        <v>10.15</v>
      </c>
      <c r="AL7" s="230">
        <v>136.75</v>
      </c>
      <c r="AM7" s="38">
        <f t="shared" si="7"/>
        <v>1388.0125</v>
      </c>
      <c r="AN7" s="215">
        <v>30.8</v>
      </c>
      <c r="AO7" s="250">
        <v>961</v>
      </c>
      <c r="AP7" s="39">
        <f t="shared" si="8"/>
        <v>29598.799999999999</v>
      </c>
      <c r="AQ7" s="201">
        <f t="shared" si="9"/>
        <v>8808.0763217737367</v>
      </c>
      <c r="AR7" s="198">
        <f t="shared" si="10"/>
        <v>150.125</v>
      </c>
      <c r="AS7" s="13"/>
      <c r="AT7" s="27">
        <v>0</v>
      </c>
      <c r="AU7" s="40">
        <v>0</v>
      </c>
      <c r="AV7" s="40">
        <v>0</v>
      </c>
      <c r="AW7" s="27">
        <v>0</v>
      </c>
      <c r="AX7" s="40">
        <v>0</v>
      </c>
      <c r="AY7" s="27">
        <v>0</v>
      </c>
      <c r="AZ7" s="27">
        <v>0</v>
      </c>
      <c r="BA7" s="4"/>
      <c r="BB7" s="41">
        <v>1067</v>
      </c>
      <c r="BC7" s="41">
        <v>1061</v>
      </c>
      <c r="BD7" s="41">
        <v>1499</v>
      </c>
      <c r="BE7" s="41">
        <f t="shared" si="11"/>
        <v>-6</v>
      </c>
      <c r="BF7" s="41">
        <f t="shared" si="12"/>
        <v>8808.0763217737367</v>
      </c>
      <c r="BG7" s="42">
        <f t="shared" si="13"/>
        <v>62.458333333333336</v>
      </c>
      <c r="BH7" s="43">
        <v>2.6</v>
      </c>
      <c r="BI7" s="44">
        <v>2.6</v>
      </c>
      <c r="BJ7" s="45">
        <v>27.2</v>
      </c>
      <c r="BK7" s="46">
        <v>28.12</v>
      </c>
      <c r="BL7" s="45">
        <v>22.49</v>
      </c>
      <c r="BM7" s="45">
        <v>28.53</v>
      </c>
      <c r="BN7" s="47">
        <v>993.5</v>
      </c>
      <c r="BO7" s="45">
        <v>50.05</v>
      </c>
      <c r="BP7" s="48">
        <v>0.93759999999999999</v>
      </c>
      <c r="BQ7" s="46">
        <v>96</v>
      </c>
      <c r="BR7" s="45">
        <v>84.66</v>
      </c>
      <c r="BS7" s="49">
        <f t="shared" si="14"/>
        <v>-11.340000000000003</v>
      </c>
      <c r="BT7" s="41">
        <v>12383</v>
      </c>
      <c r="BU7" s="41">
        <v>12221</v>
      </c>
      <c r="BV7" s="51">
        <f t="shared" si="15"/>
        <v>-162</v>
      </c>
      <c r="BW7" s="41">
        <f t="shared" si="16"/>
        <v>5.2</v>
      </c>
      <c r="BX7" s="42">
        <v>24</v>
      </c>
      <c r="BY7" s="42">
        <v>24</v>
      </c>
      <c r="CA7" s="42">
        <v>24</v>
      </c>
      <c r="CB7" s="42">
        <v>6.75</v>
      </c>
      <c r="CD7" s="42">
        <v>2.1</v>
      </c>
      <c r="CE7" s="42">
        <v>3.5</v>
      </c>
      <c r="CF7" s="42">
        <v>1.8</v>
      </c>
      <c r="CG7" s="42">
        <v>1.5</v>
      </c>
    </row>
    <row r="8" spans="1:85">
      <c r="A8" s="452"/>
      <c r="B8" s="24">
        <v>43160</v>
      </c>
      <c r="C8" s="25">
        <v>72.7</v>
      </c>
      <c r="D8" s="26">
        <v>0.66200000000000003</v>
      </c>
      <c r="E8" s="25">
        <v>62.7</v>
      </c>
      <c r="F8" s="27">
        <v>83</v>
      </c>
      <c r="G8" s="27">
        <v>65</v>
      </c>
      <c r="H8" s="28">
        <v>24</v>
      </c>
      <c r="I8" s="28">
        <v>0</v>
      </c>
      <c r="J8" s="28">
        <v>24</v>
      </c>
      <c r="K8" s="28">
        <v>0</v>
      </c>
      <c r="L8" s="29">
        <v>0</v>
      </c>
      <c r="M8" s="29">
        <v>0</v>
      </c>
      <c r="N8" s="29">
        <v>0</v>
      </c>
      <c r="O8" s="29">
        <v>0</v>
      </c>
      <c r="P8" s="29">
        <v>24</v>
      </c>
      <c r="Q8" s="29">
        <v>0</v>
      </c>
      <c r="R8" s="29">
        <v>3665</v>
      </c>
      <c r="S8" s="254">
        <v>3586</v>
      </c>
      <c r="T8" s="254">
        <v>3586</v>
      </c>
      <c r="U8" s="254">
        <v>3503</v>
      </c>
      <c r="V8" s="254">
        <v>3613</v>
      </c>
      <c r="W8" s="28">
        <v>44</v>
      </c>
      <c r="X8" s="28">
        <v>0</v>
      </c>
      <c r="Y8" s="28">
        <v>44</v>
      </c>
      <c r="Z8" s="28">
        <v>0</v>
      </c>
      <c r="AA8" s="28">
        <v>62</v>
      </c>
      <c r="AB8" s="27">
        <v>0</v>
      </c>
      <c r="AC8" s="32">
        <f t="shared" si="0"/>
        <v>110</v>
      </c>
      <c r="AD8" s="33">
        <f t="shared" si="1"/>
        <v>-83</v>
      </c>
      <c r="AE8" s="27">
        <v>153</v>
      </c>
      <c r="AF8" s="34">
        <f t="shared" si="2"/>
        <v>0.98393246187363836</v>
      </c>
      <c r="AG8" s="35">
        <f t="shared" si="3"/>
        <v>152.70833333333334</v>
      </c>
      <c r="AH8" s="34">
        <f t="shared" si="4"/>
        <v>0.95579809004092764</v>
      </c>
      <c r="AI8" s="36">
        <f t="shared" si="5"/>
        <v>1</v>
      </c>
      <c r="AJ8" s="37">
        <f t="shared" si="6"/>
        <v>1</v>
      </c>
      <c r="AK8" s="234">
        <v>10.029999999999999</v>
      </c>
      <c r="AL8" s="237">
        <v>135.26</v>
      </c>
      <c r="AM8" s="38">
        <f t="shared" si="7"/>
        <v>1356.6577999999997</v>
      </c>
      <c r="AN8" s="234">
        <v>30.785430000000002</v>
      </c>
      <c r="AO8" s="317">
        <v>961.82544794729188</v>
      </c>
      <c r="AP8" s="39">
        <f t="shared" si="8"/>
        <v>29610.21</v>
      </c>
      <c r="AQ8" s="201">
        <f t="shared" si="9"/>
        <v>8840.0992863260071</v>
      </c>
      <c r="AR8" s="198">
        <f t="shared" si="10"/>
        <v>149.41666666666666</v>
      </c>
      <c r="AS8" s="13"/>
      <c r="AT8" s="27">
        <v>0</v>
      </c>
      <c r="AU8" s="40">
        <v>0</v>
      </c>
      <c r="AV8" s="40">
        <v>0</v>
      </c>
      <c r="AW8" s="27">
        <v>0</v>
      </c>
      <c r="AX8" s="40">
        <v>0</v>
      </c>
      <c r="AY8" s="27">
        <v>0</v>
      </c>
      <c r="AZ8" s="27">
        <v>0</v>
      </c>
      <c r="BA8" s="4"/>
      <c r="BB8" s="41">
        <v>1060</v>
      </c>
      <c r="BC8" s="41">
        <v>1063</v>
      </c>
      <c r="BD8" s="41">
        <v>1490</v>
      </c>
      <c r="BE8" s="41">
        <f t="shared" si="11"/>
        <v>3</v>
      </c>
      <c r="BF8" s="41">
        <f t="shared" si="12"/>
        <v>8840.0992863260071</v>
      </c>
      <c r="BG8" s="42">
        <f t="shared" si="13"/>
        <v>62.083333333333336</v>
      </c>
      <c r="BH8" s="43">
        <v>2.5489999999999999</v>
      </c>
      <c r="BI8" s="44">
        <v>2.5489999999999999</v>
      </c>
      <c r="BJ8" s="45">
        <v>27.2</v>
      </c>
      <c r="BK8" s="46">
        <v>28.02</v>
      </c>
      <c r="BL8" s="45">
        <v>22.47</v>
      </c>
      <c r="BM8" s="45">
        <v>29.01</v>
      </c>
      <c r="BN8" s="47">
        <v>992.7</v>
      </c>
      <c r="BO8" s="45">
        <v>50.07</v>
      </c>
      <c r="BP8" s="53">
        <v>0.93730000000000002</v>
      </c>
      <c r="BQ8" s="45">
        <v>95.39</v>
      </c>
      <c r="BR8" s="45">
        <v>84.76</v>
      </c>
      <c r="BS8" s="49">
        <f t="shared" si="14"/>
        <v>-10.629999999999995</v>
      </c>
      <c r="BT8" s="50">
        <v>12406</v>
      </c>
      <c r="BU8" s="50">
        <v>12222</v>
      </c>
      <c r="BV8" s="51">
        <f t="shared" si="15"/>
        <v>-184</v>
      </c>
      <c r="BW8" s="41">
        <f t="shared" si="16"/>
        <v>5.0979999999999999</v>
      </c>
      <c r="BX8" s="42">
        <v>24</v>
      </c>
      <c r="BY8" s="42">
        <v>24</v>
      </c>
      <c r="CA8" s="42">
        <v>24</v>
      </c>
      <c r="CB8" s="42">
        <v>7.55</v>
      </c>
      <c r="CD8" s="42">
        <v>2.2000000000000002</v>
      </c>
      <c r="CE8" s="42">
        <v>3.5</v>
      </c>
      <c r="CF8" s="57">
        <v>1.8</v>
      </c>
      <c r="CG8" s="42">
        <v>1.5</v>
      </c>
    </row>
    <row r="9" spans="1:85">
      <c r="A9" s="452"/>
      <c r="B9" s="24">
        <v>43161</v>
      </c>
      <c r="C9" s="25">
        <v>71.400000000000006</v>
      </c>
      <c r="D9" s="26">
        <v>0.71</v>
      </c>
      <c r="E9" s="25">
        <v>63.1</v>
      </c>
      <c r="F9" s="27">
        <v>85</v>
      </c>
      <c r="G9" s="27">
        <v>62</v>
      </c>
      <c r="H9" s="28">
        <v>24</v>
      </c>
      <c r="I9" s="28">
        <v>0</v>
      </c>
      <c r="J9" s="28">
        <v>24</v>
      </c>
      <c r="K9" s="28">
        <v>0</v>
      </c>
      <c r="L9" s="29">
        <v>0</v>
      </c>
      <c r="M9" s="29">
        <v>0</v>
      </c>
      <c r="N9" s="29">
        <v>0</v>
      </c>
      <c r="O9" s="29">
        <v>0</v>
      </c>
      <c r="P9" s="29">
        <v>24</v>
      </c>
      <c r="Q9" s="29">
        <v>0</v>
      </c>
      <c r="R9" s="29">
        <v>3664</v>
      </c>
      <c r="S9" s="254">
        <v>3598</v>
      </c>
      <c r="T9" s="254">
        <v>3598</v>
      </c>
      <c r="U9" s="254">
        <v>3520</v>
      </c>
      <c r="V9" s="254">
        <v>3629</v>
      </c>
      <c r="W9" s="28">
        <v>45</v>
      </c>
      <c r="X9" s="28">
        <v>0</v>
      </c>
      <c r="Y9" s="28">
        <v>44</v>
      </c>
      <c r="Z9" s="28">
        <v>0</v>
      </c>
      <c r="AA9" s="28">
        <v>62</v>
      </c>
      <c r="AB9" s="27">
        <v>0</v>
      </c>
      <c r="AC9" s="32">
        <f t="shared" si="0"/>
        <v>109</v>
      </c>
      <c r="AD9" s="33">
        <f t="shared" si="1"/>
        <v>-78</v>
      </c>
      <c r="AE9" s="27">
        <v>155</v>
      </c>
      <c r="AF9" s="34">
        <f t="shared" si="2"/>
        <v>0.97553763440860219</v>
      </c>
      <c r="AG9" s="35">
        <f t="shared" si="3"/>
        <v>152.66666666666666</v>
      </c>
      <c r="AH9" s="34">
        <f t="shared" si="4"/>
        <v>0.9606986899563319</v>
      </c>
      <c r="AI9" s="36">
        <f t="shared" si="5"/>
        <v>1</v>
      </c>
      <c r="AJ9" s="37">
        <f t="shared" si="6"/>
        <v>1</v>
      </c>
      <c r="AK9" s="235">
        <v>9.9849999999999994</v>
      </c>
      <c r="AL9" s="238">
        <v>136.85</v>
      </c>
      <c r="AM9" s="38">
        <f t="shared" si="7"/>
        <v>1366.4472499999999</v>
      </c>
      <c r="AN9" s="235">
        <v>30.815629999999999</v>
      </c>
      <c r="AO9" s="317">
        <v>963.43933257246408</v>
      </c>
      <c r="AP9" s="39">
        <f t="shared" si="8"/>
        <v>29688.99</v>
      </c>
      <c r="AQ9" s="201">
        <f t="shared" si="9"/>
        <v>8822.5674005681831</v>
      </c>
      <c r="AR9" s="198">
        <f t="shared" si="10"/>
        <v>149.91666666666666</v>
      </c>
      <c r="AS9" s="13"/>
      <c r="AT9" s="27">
        <v>0</v>
      </c>
      <c r="AU9" s="40">
        <v>0</v>
      </c>
      <c r="AV9" s="40">
        <v>0</v>
      </c>
      <c r="AW9" s="27">
        <v>0</v>
      </c>
      <c r="AX9" s="40">
        <v>0</v>
      </c>
      <c r="AY9" s="27">
        <v>0</v>
      </c>
      <c r="AZ9" s="27">
        <v>0</v>
      </c>
      <c r="BA9" s="4"/>
      <c r="BB9" s="41">
        <v>1072</v>
      </c>
      <c r="BC9" s="41">
        <v>1064</v>
      </c>
      <c r="BD9" s="41">
        <v>1493</v>
      </c>
      <c r="BE9" s="41">
        <f t="shared" si="11"/>
        <v>-8</v>
      </c>
      <c r="BF9" s="41">
        <f t="shared" si="12"/>
        <v>8822.5674005681831</v>
      </c>
      <c r="BG9" s="42">
        <f t="shared" si="13"/>
        <v>62.208333333333336</v>
      </c>
      <c r="BH9" s="43">
        <v>2.5619999999999998</v>
      </c>
      <c r="BI9" s="44">
        <v>2.5619999999999998</v>
      </c>
      <c r="BJ9" s="249">
        <v>27.2</v>
      </c>
      <c r="BK9" s="45">
        <v>28.07</v>
      </c>
      <c r="BL9" s="46">
        <v>22.36</v>
      </c>
      <c r="BM9" s="47">
        <v>29.01</v>
      </c>
      <c r="BN9" s="47">
        <v>990.21</v>
      </c>
      <c r="BO9" s="45">
        <v>50.07</v>
      </c>
      <c r="BP9" s="48">
        <v>0.93679999999999997</v>
      </c>
      <c r="BQ9" s="42">
        <v>96.09</v>
      </c>
      <c r="BR9" s="42">
        <v>84.82</v>
      </c>
      <c r="BS9" s="49">
        <f t="shared" si="14"/>
        <v>-11.27000000000001</v>
      </c>
      <c r="BT9" s="50">
        <v>12324</v>
      </c>
      <c r="BU9" s="50">
        <v>12163</v>
      </c>
      <c r="BV9" s="51">
        <f t="shared" si="15"/>
        <v>-161</v>
      </c>
      <c r="BW9" s="41">
        <f t="shared" si="16"/>
        <v>5.1239999999999997</v>
      </c>
      <c r="BX9" s="62">
        <v>24</v>
      </c>
      <c r="BY9" s="42">
        <v>24</v>
      </c>
      <c r="CA9" s="42">
        <v>24</v>
      </c>
      <c r="CB9" s="42">
        <v>9.94</v>
      </c>
      <c r="CD9" s="42">
        <v>2.1</v>
      </c>
      <c r="CE9" s="42">
        <v>3.5</v>
      </c>
      <c r="CF9" s="57">
        <v>1.7</v>
      </c>
      <c r="CG9" s="42">
        <v>1.5</v>
      </c>
    </row>
    <row r="10" spans="1:85">
      <c r="A10" s="452"/>
      <c r="B10" s="24">
        <v>43162</v>
      </c>
      <c r="C10" s="25">
        <v>70.400000000000006</v>
      </c>
      <c r="D10" s="26">
        <v>0.74199999999999999</v>
      </c>
      <c r="E10" s="25">
        <v>63.64</v>
      </c>
      <c r="F10" s="27">
        <v>81</v>
      </c>
      <c r="G10" s="27">
        <v>62</v>
      </c>
      <c r="H10" s="28">
        <v>24</v>
      </c>
      <c r="I10" s="28">
        <v>0</v>
      </c>
      <c r="J10" s="28">
        <v>24</v>
      </c>
      <c r="K10" s="28">
        <v>0</v>
      </c>
      <c r="L10" s="29">
        <v>0</v>
      </c>
      <c r="M10" s="29">
        <v>0</v>
      </c>
      <c r="N10" s="29">
        <v>0</v>
      </c>
      <c r="O10" s="29">
        <v>0</v>
      </c>
      <c r="P10" s="29">
        <v>24</v>
      </c>
      <c r="Q10" s="29">
        <v>0</v>
      </c>
      <c r="R10" s="29">
        <v>3690</v>
      </c>
      <c r="S10" s="254">
        <v>3603</v>
      </c>
      <c r="T10" s="254">
        <v>3603</v>
      </c>
      <c r="U10" s="254">
        <v>3518</v>
      </c>
      <c r="V10" s="254">
        <v>3621</v>
      </c>
      <c r="W10" s="28">
        <v>45</v>
      </c>
      <c r="X10" s="28">
        <v>0</v>
      </c>
      <c r="Y10" s="28">
        <v>44</v>
      </c>
      <c r="Z10" s="28">
        <v>0</v>
      </c>
      <c r="AA10" s="28">
        <v>62</v>
      </c>
      <c r="AB10" s="27">
        <v>0</v>
      </c>
      <c r="AC10" s="32">
        <f t="shared" si="0"/>
        <v>103</v>
      </c>
      <c r="AD10" s="33">
        <f t="shared" si="1"/>
        <v>-85</v>
      </c>
      <c r="AE10" s="27">
        <v>154</v>
      </c>
      <c r="AF10" s="34">
        <f t="shared" si="2"/>
        <v>0.97970779220779225</v>
      </c>
      <c r="AG10" s="35">
        <f t="shared" si="3"/>
        <v>153.75</v>
      </c>
      <c r="AH10" s="34">
        <f t="shared" si="4"/>
        <v>0.9533875338753387</v>
      </c>
      <c r="AI10" s="36">
        <f t="shared" si="5"/>
        <v>1</v>
      </c>
      <c r="AJ10" s="37">
        <f t="shared" si="6"/>
        <v>1</v>
      </c>
      <c r="AK10" s="235">
        <v>9.8849999999999998</v>
      </c>
      <c r="AL10" s="239">
        <v>137.22999999999999</v>
      </c>
      <c r="AM10" s="38">
        <f t="shared" si="7"/>
        <v>1356.5185499999998</v>
      </c>
      <c r="AN10" s="235">
        <v>31.028890000000001</v>
      </c>
      <c r="AO10" s="317">
        <v>962.2603322258708</v>
      </c>
      <c r="AP10" s="39">
        <f t="shared" si="8"/>
        <v>29857.87</v>
      </c>
      <c r="AQ10" s="201">
        <f t="shared" si="9"/>
        <v>8872.7653638430929</v>
      </c>
      <c r="AR10" s="198">
        <f t="shared" si="10"/>
        <v>150.125</v>
      </c>
      <c r="AS10" s="13"/>
      <c r="AT10" s="27">
        <v>0</v>
      </c>
      <c r="AU10" s="40">
        <v>0</v>
      </c>
      <c r="AV10" s="40">
        <v>0</v>
      </c>
      <c r="AW10" s="27">
        <v>0</v>
      </c>
      <c r="AX10" s="40">
        <v>0</v>
      </c>
      <c r="AY10" s="27">
        <v>0</v>
      </c>
      <c r="AZ10" s="27">
        <v>0</v>
      </c>
      <c r="BA10" s="4"/>
      <c r="BB10" s="41">
        <v>1068</v>
      </c>
      <c r="BC10" s="41">
        <v>1055</v>
      </c>
      <c r="BD10" s="41">
        <v>1498</v>
      </c>
      <c r="BE10" s="41">
        <f t="shared" si="11"/>
        <v>-13</v>
      </c>
      <c r="BF10" s="41">
        <f t="shared" si="12"/>
        <v>8872.7653638430929</v>
      </c>
      <c r="BG10" s="42">
        <f t="shared" si="13"/>
        <v>62.416666666666664</v>
      </c>
      <c r="BH10" s="43">
        <v>2.6269999999999998</v>
      </c>
      <c r="BI10" s="44">
        <v>2.6110000000000002</v>
      </c>
      <c r="BJ10" s="45">
        <v>27.2</v>
      </c>
      <c r="BK10" s="46">
        <v>28.14</v>
      </c>
      <c r="BL10" s="47">
        <v>22.41</v>
      </c>
      <c r="BM10" s="47">
        <v>29.01</v>
      </c>
      <c r="BN10" s="47">
        <v>989.4</v>
      </c>
      <c r="BO10" s="45">
        <v>50.07</v>
      </c>
      <c r="BP10" s="48">
        <v>0.9365</v>
      </c>
      <c r="BQ10" s="54">
        <v>96.15</v>
      </c>
      <c r="BR10" s="54">
        <v>84.76</v>
      </c>
      <c r="BS10" s="49">
        <f t="shared" si="14"/>
        <v>-11.39</v>
      </c>
      <c r="BT10" s="55">
        <v>12381</v>
      </c>
      <c r="BU10" s="55">
        <v>12285</v>
      </c>
      <c r="BV10" s="51">
        <f t="shared" si="15"/>
        <v>-96</v>
      </c>
      <c r="BW10" s="41">
        <f t="shared" si="16"/>
        <v>5.2379999999999995</v>
      </c>
      <c r="BX10" s="42">
        <v>24</v>
      </c>
      <c r="BY10" s="42">
        <v>24</v>
      </c>
      <c r="CA10" s="42">
        <v>24</v>
      </c>
      <c r="CB10" s="42">
        <v>7</v>
      </c>
      <c r="CD10" s="42">
        <v>2.1</v>
      </c>
      <c r="CE10" s="42">
        <v>3.4</v>
      </c>
      <c r="CF10" s="57">
        <v>1.6</v>
      </c>
      <c r="CG10" s="57">
        <v>1.4</v>
      </c>
    </row>
    <row r="11" spans="1:85">
      <c r="A11" s="453"/>
      <c r="B11" s="24">
        <v>43163</v>
      </c>
      <c r="C11" s="25">
        <v>68.16</v>
      </c>
      <c r="D11" s="26">
        <v>0.67410000000000003</v>
      </c>
      <c r="E11" s="25">
        <v>58.79</v>
      </c>
      <c r="F11" s="27">
        <v>82</v>
      </c>
      <c r="G11" s="27">
        <v>58</v>
      </c>
      <c r="H11" s="28">
        <v>24</v>
      </c>
      <c r="I11" s="28">
        <v>0</v>
      </c>
      <c r="J11" s="28">
        <v>12</v>
      </c>
      <c r="K11" s="28">
        <v>10</v>
      </c>
      <c r="L11" s="29">
        <v>0</v>
      </c>
      <c r="M11" s="29">
        <v>0</v>
      </c>
      <c r="N11" s="29">
        <v>0</v>
      </c>
      <c r="O11" s="29">
        <v>0</v>
      </c>
      <c r="P11" s="29">
        <v>12</v>
      </c>
      <c r="Q11" s="29">
        <v>2</v>
      </c>
      <c r="R11" s="29">
        <v>3683</v>
      </c>
      <c r="S11" s="254">
        <v>2744</v>
      </c>
      <c r="T11" s="254">
        <v>2744</v>
      </c>
      <c r="U11" s="254">
        <v>2695</v>
      </c>
      <c r="V11" s="254">
        <v>2789</v>
      </c>
      <c r="W11" s="28">
        <v>45</v>
      </c>
      <c r="X11" s="28">
        <v>0</v>
      </c>
      <c r="Y11" s="28">
        <v>46</v>
      </c>
      <c r="Z11" s="28">
        <v>643</v>
      </c>
      <c r="AA11" s="28">
        <v>62</v>
      </c>
      <c r="AB11" s="27">
        <v>0</v>
      </c>
      <c r="AC11" s="32">
        <f t="shared" si="0"/>
        <v>94</v>
      </c>
      <c r="AD11" s="33">
        <f t="shared" si="1"/>
        <v>-49</v>
      </c>
      <c r="AE11" s="27">
        <v>154</v>
      </c>
      <c r="AF11" s="34">
        <f t="shared" si="2"/>
        <v>0.7545995670995671</v>
      </c>
      <c r="AG11" s="35">
        <f t="shared" si="3"/>
        <v>153.45833333333334</v>
      </c>
      <c r="AH11" s="34">
        <f t="shared" si="4"/>
        <v>0.73174042899809932</v>
      </c>
      <c r="AI11" s="36">
        <f t="shared" si="5"/>
        <v>0.86574981844589682</v>
      </c>
      <c r="AJ11" s="37">
        <f t="shared" si="6"/>
        <v>0.76098856209150323</v>
      </c>
      <c r="AK11" s="235">
        <v>5.1849999999999996</v>
      </c>
      <c r="AL11" s="239">
        <v>153.47999999999999</v>
      </c>
      <c r="AM11" s="38">
        <f t="shared" si="7"/>
        <v>795.79379999999992</v>
      </c>
      <c r="AN11" s="235">
        <v>24.188009999999998</v>
      </c>
      <c r="AO11" s="317">
        <v>962.10395150324484</v>
      </c>
      <c r="AP11" s="39">
        <f t="shared" si="8"/>
        <v>23271.38</v>
      </c>
      <c r="AQ11" s="201">
        <f t="shared" si="9"/>
        <v>8930.305677179962</v>
      </c>
      <c r="AR11" s="198">
        <f t="shared" si="10"/>
        <v>114.33333333333333</v>
      </c>
      <c r="AS11" s="13"/>
      <c r="AT11" s="27">
        <v>0</v>
      </c>
      <c r="AU11" s="40">
        <v>0</v>
      </c>
      <c r="AV11" s="40">
        <v>23</v>
      </c>
      <c r="AW11" s="27">
        <v>67</v>
      </c>
      <c r="AX11" s="40">
        <v>30</v>
      </c>
      <c r="AY11" s="27">
        <v>718</v>
      </c>
      <c r="AZ11" s="27">
        <v>0</v>
      </c>
      <c r="BA11" s="4"/>
      <c r="BB11" s="41">
        <v>1088</v>
      </c>
      <c r="BC11" s="41">
        <v>597</v>
      </c>
      <c r="BD11" s="41">
        <v>1104</v>
      </c>
      <c r="BE11" s="41">
        <f t="shared" si="11"/>
        <v>-491</v>
      </c>
      <c r="BF11" s="41">
        <f t="shared" si="12"/>
        <v>8930.305677179962</v>
      </c>
      <c r="BG11" s="42">
        <f t="shared" si="13"/>
        <v>46</v>
      </c>
      <c r="BH11" s="43">
        <v>2.4420000000000002</v>
      </c>
      <c r="BI11" s="44">
        <v>1.2150000000000001</v>
      </c>
      <c r="BJ11" s="45">
        <v>27.2</v>
      </c>
      <c r="BK11" s="46">
        <v>28.49</v>
      </c>
      <c r="BL11" s="47">
        <v>12.64</v>
      </c>
      <c r="BM11" s="47">
        <v>16.190000000000001</v>
      </c>
      <c r="BN11" s="47">
        <v>991.46</v>
      </c>
      <c r="BO11" s="45">
        <v>50.08</v>
      </c>
      <c r="BP11" s="48">
        <v>0.93069999999999997</v>
      </c>
      <c r="BQ11" s="54">
        <v>95.82</v>
      </c>
      <c r="BR11" s="54">
        <v>86.75</v>
      </c>
      <c r="BS11" s="49">
        <f t="shared" si="14"/>
        <v>-9.0699999999999932</v>
      </c>
      <c r="BT11" s="56">
        <v>12305</v>
      </c>
      <c r="BU11" s="56">
        <v>11871</v>
      </c>
      <c r="BV11" s="51">
        <f t="shared" si="15"/>
        <v>-434</v>
      </c>
      <c r="BW11" s="41">
        <f t="shared" si="16"/>
        <v>3.657</v>
      </c>
      <c r="BX11" s="57">
        <v>24</v>
      </c>
      <c r="BY11" s="57">
        <v>12.42</v>
      </c>
      <c r="CA11" s="57">
        <v>24</v>
      </c>
      <c r="CB11" s="57">
        <v>8.2200000000000006</v>
      </c>
      <c r="CD11" s="57">
        <v>2.2000000000000002</v>
      </c>
      <c r="CE11" s="57">
        <v>3.6</v>
      </c>
      <c r="CF11" s="57">
        <v>1.8</v>
      </c>
      <c r="CG11" s="57">
        <v>1.9</v>
      </c>
    </row>
    <row r="12" spans="1:85" ht="15" customHeight="1">
      <c r="A12" s="451" t="s">
        <v>162</v>
      </c>
      <c r="B12" s="24">
        <v>43164</v>
      </c>
      <c r="C12" s="157">
        <v>71.239999999999995</v>
      </c>
      <c r="D12" s="158">
        <v>0.6714</v>
      </c>
      <c r="E12" s="157">
        <v>61.13</v>
      </c>
      <c r="F12" s="159">
        <v>84</v>
      </c>
      <c r="G12" s="159">
        <v>62</v>
      </c>
      <c r="H12" s="160">
        <v>24</v>
      </c>
      <c r="I12" s="160">
        <v>0</v>
      </c>
      <c r="J12" s="160">
        <v>24</v>
      </c>
      <c r="K12" s="160">
        <v>0</v>
      </c>
      <c r="L12" s="161">
        <v>0</v>
      </c>
      <c r="M12" s="161">
        <v>0</v>
      </c>
      <c r="N12" s="161">
        <v>0</v>
      </c>
      <c r="O12" s="161">
        <v>0</v>
      </c>
      <c r="P12" s="161">
        <v>24</v>
      </c>
      <c r="Q12" s="159">
        <v>0</v>
      </c>
      <c r="R12" s="159">
        <v>3667</v>
      </c>
      <c r="S12" s="159">
        <v>3609</v>
      </c>
      <c r="T12" s="159">
        <v>3609</v>
      </c>
      <c r="U12" s="159">
        <v>3532</v>
      </c>
      <c r="V12" s="160">
        <v>3638</v>
      </c>
      <c r="W12" s="160">
        <v>45</v>
      </c>
      <c r="X12" s="160">
        <v>0</v>
      </c>
      <c r="Y12" s="160">
        <v>47</v>
      </c>
      <c r="Z12" s="161">
        <v>0</v>
      </c>
      <c r="AA12" s="161">
        <v>60</v>
      </c>
      <c r="AB12" s="161">
        <v>0</v>
      </c>
      <c r="AC12" s="165">
        <f t="shared" si="0"/>
        <v>106</v>
      </c>
      <c r="AD12" s="166">
        <f t="shared" si="1"/>
        <v>-77</v>
      </c>
      <c r="AE12" s="159">
        <v>156</v>
      </c>
      <c r="AF12" s="167">
        <f t="shared" si="2"/>
        <v>0.97168803418803418</v>
      </c>
      <c r="AG12" s="168">
        <f t="shared" si="3"/>
        <v>152.79166666666666</v>
      </c>
      <c r="AH12" s="167">
        <f t="shared" si="4"/>
        <v>0.9631851649850014</v>
      </c>
      <c r="AI12" s="169">
        <f t="shared" si="5"/>
        <v>1</v>
      </c>
      <c r="AJ12" s="170">
        <f t="shared" si="6"/>
        <v>1</v>
      </c>
      <c r="AK12" s="235">
        <v>9.92</v>
      </c>
      <c r="AL12" s="239">
        <v>134.84</v>
      </c>
      <c r="AM12" s="275">
        <f t="shared" si="7"/>
        <v>1337.6128000000001</v>
      </c>
      <c r="AN12" s="235">
        <v>30.47429</v>
      </c>
      <c r="AO12" s="317">
        <v>962.35318361805969</v>
      </c>
      <c r="AP12" s="172">
        <f t="shared" si="8"/>
        <v>29327.03</v>
      </c>
      <c r="AQ12" s="202">
        <f t="shared" si="9"/>
        <v>8681.9486976217431</v>
      </c>
      <c r="AR12" s="199">
        <f t="shared" si="10"/>
        <v>150.375</v>
      </c>
      <c r="AS12" s="13"/>
      <c r="AT12" s="173">
        <v>0</v>
      </c>
      <c r="AU12" s="159">
        <v>0</v>
      </c>
      <c r="AV12" s="174">
        <v>0</v>
      </c>
      <c r="AW12" s="174">
        <v>0</v>
      </c>
      <c r="AX12" s="159">
        <v>0</v>
      </c>
      <c r="AY12" s="174">
        <v>0</v>
      </c>
      <c r="AZ12" s="159">
        <v>0</v>
      </c>
      <c r="BA12" s="4"/>
      <c r="BB12" s="159">
        <v>1078</v>
      </c>
      <c r="BC12" s="159">
        <v>1129</v>
      </c>
      <c r="BD12" s="159">
        <v>1431</v>
      </c>
      <c r="BE12" s="175">
        <f t="shared" si="11"/>
        <v>51</v>
      </c>
      <c r="BF12" s="176">
        <f t="shared" si="12"/>
        <v>8681.9486976217431</v>
      </c>
      <c r="BG12" s="177">
        <f t="shared" si="13"/>
        <v>59.625</v>
      </c>
      <c r="BH12" s="178">
        <v>2.1520000000000001</v>
      </c>
      <c r="BI12" s="156">
        <v>2.1520000000000001</v>
      </c>
      <c r="BJ12" s="177">
        <v>27.2</v>
      </c>
      <c r="BK12" s="175">
        <v>28.21</v>
      </c>
      <c r="BL12" s="175">
        <v>23.18</v>
      </c>
      <c r="BM12" s="175">
        <v>29.15</v>
      </c>
      <c r="BN12" s="175">
        <v>994.4</v>
      </c>
      <c r="BO12" s="177">
        <v>50.08</v>
      </c>
      <c r="BP12" s="180">
        <v>0.93740000000000001</v>
      </c>
      <c r="BQ12" s="186">
        <v>95.89</v>
      </c>
      <c r="BR12" s="186">
        <v>86.75</v>
      </c>
      <c r="BS12" s="49">
        <f t="shared" si="14"/>
        <v>-9.14</v>
      </c>
      <c r="BT12" s="179">
        <v>12295</v>
      </c>
      <c r="BU12" s="179">
        <v>11795</v>
      </c>
      <c r="BV12" s="51">
        <f t="shared" si="15"/>
        <v>-500</v>
      </c>
      <c r="BW12" s="175">
        <f t="shared" si="16"/>
        <v>4.3040000000000003</v>
      </c>
      <c r="BX12" s="177">
        <v>24</v>
      </c>
      <c r="BY12" s="177">
        <v>24</v>
      </c>
      <c r="CA12" s="177">
        <v>24</v>
      </c>
      <c r="CB12" s="177">
        <v>7.93</v>
      </c>
      <c r="CD12" s="177">
        <v>2.2000000000000002</v>
      </c>
      <c r="CE12" s="177">
        <v>3.6</v>
      </c>
      <c r="CF12" s="177">
        <v>1.8</v>
      </c>
      <c r="CG12" s="177">
        <v>1.5</v>
      </c>
    </row>
    <row r="13" spans="1:85">
      <c r="A13" s="452"/>
      <c r="B13" s="24">
        <v>43165</v>
      </c>
      <c r="C13" s="157">
        <v>72.06</v>
      </c>
      <c r="D13" s="197">
        <v>0.66010000000000002</v>
      </c>
      <c r="E13" s="157">
        <v>61.56</v>
      </c>
      <c r="F13" s="159">
        <v>81</v>
      </c>
      <c r="G13" s="159">
        <v>61</v>
      </c>
      <c r="H13" s="160">
        <v>24</v>
      </c>
      <c r="I13" s="160">
        <v>0</v>
      </c>
      <c r="J13" s="160">
        <v>24</v>
      </c>
      <c r="K13" s="160">
        <v>0</v>
      </c>
      <c r="L13" s="161">
        <v>0</v>
      </c>
      <c r="M13" s="161">
        <v>0</v>
      </c>
      <c r="N13" s="161">
        <v>0</v>
      </c>
      <c r="O13" s="161">
        <v>0</v>
      </c>
      <c r="P13" s="161">
        <v>24</v>
      </c>
      <c r="Q13" s="159">
        <v>0</v>
      </c>
      <c r="R13" s="159">
        <v>3665</v>
      </c>
      <c r="S13" s="159">
        <v>3609</v>
      </c>
      <c r="T13" s="159">
        <v>3609</v>
      </c>
      <c r="U13" s="159">
        <v>3526</v>
      </c>
      <c r="V13" s="160">
        <v>3636</v>
      </c>
      <c r="W13" s="160">
        <v>45</v>
      </c>
      <c r="X13" s="160">
        <v>0</v>
      </c>
      <c r="Y13" s="160">
        <v>47</v>
      </c>
      <c r="Z13" s="161">
        <v>0</v>
      </c>
      <c r="AA13" s="161">
        <v>60</v>
      </c>
      <c r="AB13" s="161">
        <v>0</v>
      </c>
      <c r="AC13" s="165">
        <f t="shared" si="0"/>
        <v>110</v>
      </c>
      <c r="AD13" s="166">
        <f t="shared" si="1"/>
        <v>-83</v>
      </c>
      <c r="AE13" s="159">
        <v>155</v>
      </c>
      <c r="AF13" s="167">
        <f t="shared" si="2"/>
        <v>0.97741935483870968</v>
      </c>
      <c r="AG13" s="168">
        <f t="shared" si="3"/>
        <v>152.70833333333334</v>
      </c>
      <c r="AH13" s="167">
        <f t="shared" si="4"/>
        <v>0.96207366984993181</v>
      </c>
      <c r="AI13" s="169">
        <f t="shared" si="5"/>
        <v>1</v>
      </c>
      <c r="AJ13" s="170">
        <f t="shared" si="6"/>
        <v>1</v>
      </c>
      <c r="AK13" s="235">
        <v>9.9</v>
      </c>
      <c r="AL13" s="239">
        <v>136.13</v>
      </c>
      <c r="AM13" s="275">
        <f t="shared" si="7"/>
        <v>1347.6869999999999</v>
      </c>
      <c r="AN13" s="235">
        <v>30.445869999999999</v>
      </c>
      <c r="AO13" s="317">
        <v>964.98769783882017</v>
      </c>
      <c r="AP13" s="172">
        <f t="shared" si="8"/>
        <v>29379.89</v>
      </c>
      <c r="AQ13" s="202">
        <f t="shared" si="9"/>
        <v>8714.5709018718098</v>
      </c>
      <c r="AR13" s="199">
        <f t="shared" si="10"/>
        <v>150.375</v>
      </c>
      <c r="AS13" s="13"/>
      <c r="AT13" s="173">
        <v>0</v>
      </c>
      <c r="AU13" s="159">
        <v>0</v>
      </c>
      <c r="AV13" s="174">
        <v>0</v>
      </c>
      <c r="AW13" s="174">
        <v>0</v>
      </c>
      <c r="AX13" s="159">
        <v>0</v>
      </c>
      <c r="AY13" s="174">
        <v>0</v>
      </c>
      <c r="AZ13" s="159">
        <v>0</v>
      </c>
      <c r="BA13" s="4"/>
      <c r="BB13" s="159">
        <v>1074</v>
      </c>
      <c r="BC13" s="159">
        <v>1124</v>
      </c>
      <c r="BD13" s="159">
        <v>1438</v>
      </c>
      <c r="BE13" s="175">
        <f t="shared" si="11"/>
        <v>50</v>
      </c>
      <c r="BF13" s="176">
        <f t="shared" si="12"/>
        <v>8714.5709018718098</v>
      </c>
      <c r="BG13" s="177">
        <f t="shared" si="13"/>
        <v>59.916666666666664</v>
      </c>
      <c r="BH13" s="178">
        <v>2.177</v>
      </c>
      <c r="BI13" s="156">
        <v>2.177</v>
      </c>
      <c r="BJ13" s="177">
        <v>27.2</v>
      </c>
      <c r="BK13" s="175">
        <v>28.09</v>
      </c>
      <c r="BL13" s="175">
        <v>23.01</v>
      </c>
      <c r="BM13" s="175">
        <v>29</v>
      </c>
      <c r="BN13" s="179">
        <v>995.2</v>
      </c>
      <c r="BO13" s="179">
        <v>49.99</v>
      </c>
      <c r="BP13" s="180">
        <v>0.93720000000000003</v>
      </c>
      <c r="BQ13" s="177">
        <v>95.96</v>
      </c>
      <c r="BR13" s="177">
        <v>86.64</v>
      </c>
      <c r="BS13" s="49">
        <f t="shared" si="14"/>
        <v>-9.3199999999999932</v>
      </c>
      <c r="BT13" s="175">
        <v>12291</v>
      </c>
      <c r="BU13" s="175">
        <v>11784</v>
      </c>
      <c r="BV13" s="51">
        <f t="shared" si="15"/>
        <v>-507</v>
      </c>
      <c r="BW13" s="175">
        <f t="shared" si="16"/>
        <v>4.3540000000000001</v>
      </c>
      <c r="BX13" s="177">
        <v>24</v>
      </c>
      <c r="BY13" s="177">
        <v>24</v>
      </c>
      <c r="CA13" s="177">
        <v>24</v>
      </c>
      <c r="CB13" s="177">
        <v>9.5299999999999994</v>
      </c>
      <c r="CD13" s="177">
        <v>2.1</v>
      </c>
      <c r="CE13" s="177">
        <v>3.5</v>
      </c>
      <c r="CF13" s="177">
        <v>1.8</v>
      </c>
      <c r="CG13" s="177">
        <v>1.5</v>
      </c>
    </row>
    <row r="14" spans="1:85">
      <c r="A14" s="452"/>
      <c r="B14" s="24">
        <v>43166</v>
      </c>
      <c r="C14" s="157">
        <v>74</v>
      </c>
      <c r="D14" s="197">
        <v>0.63</v>
      </c>
      <c r="E14" s="157">
        <v>62</v>
      </c>
      <c r="F14" s="159">
        <v>88</v>
      </c>
      <c r="G14" s="159">
        <v>64</v>
      </c>
      <c r="H14" s="160">
        <v>24</v>
      </c>
      <c r="I14" s="160">
        <v>0</v>
      </c>
      <c r="J14" s="160">
        <v>24</v>
      </c>
      <c r="K14" s="160">
        <v>0</v>
      </c>
      <c r="L14" s="161">
        <v>0</v>
      </c>
      <c r="M14" s="161">
        <v>0</v>
      </c>
      <c r="N14" s="161">
        <v>0</v>
      </c>
      <c r="O14" s="161">
        <v>0</v>
      </c>
      <c r="P14" s="161">
        <v>24</v>
      </c>
      <c r="Q14" s="159">
        <v>0</v>
      </c>
      <c r="R14" s="159">
        <v>3648</v>
      </c>
      <c r="S14" s="159">
        <v>3611</v>
      </c>
      <c r="T14" s="159">
        <v>3611</v>
      </c>
      <c r="U14" s="159">
        <v>3528</v>
      </c>
      <c r="V14" s="160">
        <v>3637</v>
      </c>
      <c r="W14" s="160">
        <v>45</v>
      </c>
      <c r="X14" s="160">
        <v>0</v>
      </c>
      <c r="Y14" s="160">
        <v>46</v>
      </c>
      <c r="Z14" s="161">
        <v>0</v>
      </c>
      <c r="AA14" s="161">
        <v>61</v>
      </c>
      <c r="AB14" s="161">
        <v>0</v>
      </c>
      <c r="AC14" s="165">
        <f t="shared" si="0"/>
        <v>109</v>
      </c>
      <c r="AD14" s="166">
        <f t="shared" si="1"/>
        <v>-83</v>
      </c>
      <c r="AE14" s="159">
        <v>155</v>
      </c>
      <c r="AF14" s="167">
        <f t="shared" si="2"/>
        <v>0.97768817204301073</v>
      </c>
      <c r="AG14" s="168">
        <f t="shared" si="3"/>
        <v>152</v>
      </c>
      <c r="AH14" s="167">
        <f t="shared" si="4"/>
        <v>0.96710526315789469</v>
      </c>
      <c r="AI14" s="169">
        <f t="shared" si="5"/>
        <v>1</v>
      </c>
      <c r="AJ14" s="170">
        <f t="shared" si="6"/>
        <v>1</v>
      </c>
      <c r="AK14" s="235">
        <v>9.9139999999999997</v>
      </c>
      <c r="AL14" s="239">
        <v>133.79</v>
      </c>
      <c r="AM14" s="275">
        <f t="shared" si="7"/>
        <v>1326.3940599999999</v>
      </c>
      <c r="AN14" s="235">
        <v>30.161079999999998</v>
      </c>
      <c r="AO14" s="317">
        <v>978.37842676721129</v>
      </c>
      <c r="AP14" s="172">
        <f t="shared" si="8"/>
        <v>29508.95</v>
      </c>
      <c r="AQ14" s="202">
        <f t="shared" si="9"/>
        <v>8740.1768877551021</v>
      </c>
      <c r="AR14" s="199">
        <f t="shared" si="10"/>
        <v>150.45833333333334</v>
      </c>
      <c r="AS14" s="13"/>
      <c r="AT14" s="182">
        <v>0</v>
      </c>
      <c r="AU14" s="159">
        <v>0</v>
      </c>
      <c r="AV14" s="174">
        <v>0</v>
      </c>
      <c r="AW14" s="174">
        <v>0</v>
      </c>
      <c r="AX14" s="159">
        <v>0</v>
      </c>
      <c r="AY14" s="174">
        <v>0</v>
      </c>
      <c r="AZ14" s="159">
        <v>0</v>
      </c>
      <c r="BA14" s="4"/>
      <c r="BB14" s="159">
        <v>1069</v>
      </c>
      <c r="BC14" s="159">
        <v>1113</v>
      </c>
      <c r="BD14" s="159">
        <v>1455</v>
      </c>
      <c r="BE14" s="175">
        <f t="shared" si="11"/>
        <v>44</v>
      </c>
      <c r="BF14" s="176">
        <f t="shared" si="12"/>
        <v>8740.1768877551021</v>
      </c>
      <c r="BG14" s="177">
        <f t="shared" si="13"/>
        <v>60.625</v>
      </c>
      <c r="BH14" s="178">
        <v>2.278</v>
      </c>
      <c r="BI14" s="156">
        <v>2.2909999999999999</v>
      </c>
      <c r="BJ14" s="177">
        <v>27.2</v>
      </c>
      <c r="BK14" s="175">
        <v>27.51</v>
      </c>
      <c r="BL14" s="175">
        <v>22.48</v>
      </c>
      <c r="BM14" s="175">
        <v>28.71</v>
      </c>
      <c r="BN14" s="179">
        <v>992.8</v>
      </c>
      <c r="BO14" s="179">
        <v>50.02</v>
      </c>
      <c r="BP14" s="180">
        <v>0.93789999999999996</v>
      </c>
      <c r="BQ14" s="177">
        <v>95.89</v>
      </c>
      <c r="BR14" s="177">
        <v>86.54</v>
      </c>
      <c r="BS14" s="49">
        <f t="shared" si="14"/>
        <v>-9.3499999999999943</v>
      </c>
      <c r="BT14" s="175">
        <v>12082</v>
      </c>
      <c r="BU14" s="175">
        <v>11651</v>
      </c>
      <c r="BV14" s="51">
        <f t="shared" si="15"/>
        <v>-431</v>
      </c>
      <c r="BW14" s="175">
        <f t="shared" si="16"/>
        <v>4.569</v>
      </c>
      <c r="BX14" s="177">
        <v>24</v>
      </c>
      <c r="BY14" s="177">
        <v>24</v>
      </c>
      <c r="CA14" s="177">
        <v>24</v>
      </c>
      <c r="CB14" s="177">
        <v>6.21</v>
      </c>
      <c r="CD14" s="177">
        <v>2.1</v>
      </c>
      <c r="CE14" s="177">
        <v>3.6</v>
      </c>
      <c r="CF14" s="177">
        <v>1.7</v>
      </c>
      <c r="CG14" s="177">
        <v>1.6</v>
      </c>
    </row>
    <row r="15" spans="1:85">
      <c r="A15" s="452"/>
      <c r="B15" s="24">
        <v>43167</v>
      </c>
      <c r="C15" s="157">
        <v>75</v>
      </c>
      <c r="D15" s="197">
        <v>0.57999999999999996</v>
      </c>
      <c r="E15" s="157">
        <v>61</v>
      </c>
      <c r="F15" s="183">
        <v>86</v>
      </c>
      <c r="G15" s="183">
        <v>65</v>
      </c>
      <c r="H15" s="160">
        <v>24</v>
      </c>
      <c r="I15" s="160">
        <v>0</v>
      </c>
      <c r="J15" s="160">
        <v>24</v>
      </c>
      <c r="K15" s="160">
        <v>0</v>
      </c>
      <c r="L15" s="161">
        <v>0</v>
      </c>
      <c r="M15" s="161">
        <v>0</v>
      </c>
      <c r="N15" s="161">
        <v>0</v>
      </c>
      <c r="O15" s="161">
        <v>0</v>
      </c>
      <c r="P15" s="161">
        <v>23</v>
      </c>
      <c r="Q15" s="159">
        <v>34</v>
      </c>
      <c r="R15" s="159">
        <v>3643</v>
      </c>
      <c r="S15" s="159">
        <v>3592</v>
      </c>
      <c r="T15" s="159">
        <v>3585</v>
      </c>
      <c r="U15" s="159">
        <v>3517</v>
      </c>
      <c r="V15" s="160">
        <v>3626</v>
      </c>
      <c r="W15" s="160">
        <v>44</v>
      </c>
      <c r="X15" s="160">
        <v>0</v>
      </c>
      <c r="Y15" s="160">
        <v>46</v>
      </c>
      <c r="Z15" s="161">
        <v>0</v>
      </c>
      <c r="AA15" s="161">
        <v>60</v>
      </c>
      <c r="AB15" s="161">
        <v>0</v>
      </c>
      <c r="AC15" s="165">
        <f t="shared" si="0"/>
        <v>109</v>
      </c>
      <c r="AD15" s="166">
        <f t="shared" si="1"/>
        <v>-68</v>
      </c>
      <c r="AE15" s="159">
        <v>155</v>
      </c>
      <c r="AF15" s="167">
        <f t="shared" si="2"/>
        <v>0.97473118279569892</v>
      </c>
      <c r="AG15" s="168">
        <f t="shared" si="3"/>
        <v>151.79166666666666</v>
      </c>
      <c r="AH15" s="167">
        <f t="shared" si="4"/>
        <v>0.96541312105407628</v>
      </c>
      <c r="AI15" s="169">
        <f t="shared" si="5"/>
        <v>1</v>
      </c>
      <c r="AJ15" s="170">
        <f t="shared" si="6"/>
        <v>0.99831481481481477</v>
      </c>
      <c r="AK15" s="236">
        <v>9.9</v>
      </c>
      <c r="AL15" s="240">
        <v>134.58000000000001</v>
      </c>
      <c r="AM15" s="275">
        <f t="shared" si="7"/>
        <v>1332.3420000000001</v>
      </c>
      <c r="AN15" s="236">
        <v>30.546890000000001</v>
      </c>
      <c r="AO15" s="317">
        <v>966.3720267431479</v>
      </c>
      <c r="AP15" s="172">
        <f t="shared" si="8"/>
        <v>29519.66</v>
      </c>
      <c r="AQ15" s="202">
        <f t="shared" si="9"/>
        <v>8772.2496445834513</v>
      </c>
      <c r="AR15" s="199">
        <f t="shared" si="10"/>
        <v>149.66666666666666</v>
      </c>
      <c r="AS15" s="13"/>
      <c r="AT15" s="159">
        <v>0</v>
      </c>
      <c r="AU15" s="174">
        <v>0</v>
      </c>
      <c r="AV15" s="174">
        <v>0</v>
      </c>
      <c r="AW15" s="159">
        <v>0</v>
      </c>
      <c r="AX15" s="174">
        <v>14</v>
      </c>
      <c r="AY15" s="159">
        <v>26</v>
      </c>
      <c r="AZ15" s="159">
        <v>0</v>
      </c>
      <c r="BA15" s="4"/>
      <c r="BB15" s="175">
        <v>1072</v>
      </c>
      <c r="BC15" s="175">
        <v>1114</v>
      </c>
      <c r="BD15" s="184">
        <v>1440</v>
      </c>
      <c r="BE15" s="175">
        <f t="shared" si="11"/>
        <v>42</v>
      </c>
      <c r="BF15" s="177">
        <f t="shared" si="12"/>
        <v>8772.2496445834513</v>
      </c>
      <c r="BG15" s="177">
        <f t="shared" si="13"/>
        <v>60</v>
      </c>
      <c r="BH15" s="178">
        <v>2.2570000000000001</v>
      </c>
      <c r="BI15" s="156">
        <v>2.2570000000000001</v>
      </c>
      <c r="BJ15" s="177">
        <v>27.2</v>
      </c>
      <c r="BK15" s="175">
        <v>28.07</v>
      </c>
      <c r="BL15" s="175">
        <v>22.9</v>
      </c>
      <c r="BM15" s="175">
        <v>28.8</v>
      </c>
      <c r="BN15" s="179">
        <v>993.5</v>
      </c>
      <c r="BO15" s="179">
        <v>50.07</v>
      </c>
      <c r="BP15" s="185">
        <v>0.93789999999999996</v>
      </c>
      <c r="BQ15" s="177">
        <v>95.8</v>
      </c>
      <c r="BR15" s="177">
        <v>86.5</v>
      </c>
      <c r="BS15" s="49">
        <f t="shared" si="14"/>
        <v>-9.2999999999999972</v>
      </c>
      <c r="BT15" s="175">
        <v>12319</v>
      </c>
      <c r="BU15" s="175">
        <v>11836</v>
      </c>
      <c r="BV15" s="51">
        <f t="shared" si="15"/>
        <v>-483</v>
      </c>
      <c r="BW15" s="175">
        <f t="shared" si="16"/>
        <v>4.5140000000000002</v>
      </c>
      <c r="BX15" s="177">
        <v>24</v>
      </c>
      <c r="BY15" s="177">
        <v>24</v>
      </c>
      <c r="CA15" s="177">
        <v>24</v>
      </c>
      <c r="CB15" s="177">
        <v>9.4</v>
      </c>
      <c r="CD15" s="177">
        <v>2.1</v>
      </c>
      <c r="CE15" s="177">
        <v>3.6</v>
      </c>
      <c r="CF15" s="177">
        <v>1.8</v>
      </c>
      <c r="CG15" s="177">
        <v>1.6</v>
      </c>
    </row>
    <row r="16" spans="1:85">
      <c r="A16" s="452"/>
      <c r="B16" s="24">
        <v>43168</v>
      </c>
      <c r="C16" s="157">
        <v>72</v>
      </c>
      <c r="D16" s="197">
        <v>0.6</v>
      </c>
      <c r="E16" s="157">
        <v>59</v>
      </c>
      <c r="F16" s="159">
        <v>81</v>
      </c>
      <c r="G16" s="159">
        <v>60</v>
      </c>
      <c r="H16" s="159">
        <v>24</v>
      </c>
      <c r="I16" s="159">
        <v>0</v>
      </c>
      <c r="J16" s="159">
        <v>24</v>
      </c>
      <c r="K16" s="159">
        <v>0</v>
      </c>
      <c r="L16" s="161">
        <v>0</v>
      </c>
      <c r="M16" s="161">
        <v>0</v>
      </c>
      <c r="N16" s="161">
        <v>0</v>
      </c>
      <c r="O16" s="161">
        <v>0</v>
      </c>
      <c r="P16" s="161">
        <v>23</v>
      </c>
      <c r="Q16" s="159">
        <v>18</v>
      </c>
      <c r="R16" s="159">
        <v>3670</v>
      </c>
      <c r="S16" s="159">
        <v>3598</v>
      </c>
      <c r="T16" s="159">
        <v>3589</v>
      </c>
      <c r="U16" s="159">
        <v>3519</v>
      </c>
      <c r="V16" s="159">
        <v>3626</v>
      </c>
      <c r="W16" s="159">
        <v>45</v>
      </c>
      <c r="X16" s="159">
        <v>0</v>
      </c>
      <c r="Y16" s="159">
        <v>47</v>
      </c>
      <c r="Z16" s="161">
        <v>0</v>
      </c>
      <c r="AA16" s="161">
        <v>59</v>
      </c>
      <c r="AB16" s="161">
        <v>0</v>
      </c>
      <c r="AC16" s="165">
        <f t="shared" si="0"/>
        <v>107</v>
      </c>
      <c r="AD16" s="166">
        <f t="shared" si="1"/>
        <v>-70</v>
      </c>
      <c r="AE16" s="159">
        <v>154</v>
      </c>
      <c r="AF16" s="167">
        <f t="shared" si="2"/>
        <v>0.98106060606060608</v>
      </c>
      <c r="AG16" s="168">
        <f t="shared" si="3"/>
        <v>152.91666666666666</v>
      </c>
      <c r="AH16" s="167">
        <f t="shared" si="4"/>
        <v>0.95885558583106267</v>
      </c>
      <c r="AI16" s="169">
        <f>IF(U16&gt;0,(1440-((W16*X16)+(Y16*Z16)+(AA16*AB16))/(W16+Y16+AA16))/1440,"no data")</f>
        <v>1</v>
      </c>
      <c r="AJ16" s="170">
        <f t="shared" si="6"/>
        <v>0.99826158940397347</v>
      </c>
      <c r="AK16" s="236">
        <v>9.86</v>
      </c>
      <c r="AL16" s="240">
        <v>134.1</v>
      </c>
      <c r="AM16" s="275">
        <f t="shared" si="7"/>
        <v>1322.2259999999999</v>
      </c>
      <c r="AN16" s="236">
        <v>30.49879</v>
      </c>
      <c r="AO16" s="317">
        <v>961.28370994390275</v>
      </c>
      <c r="AP16" s="172">
        <f t="shared" si="8"/>
        <v>29317.99</v>
      </c>
      <c r="AQ16" s="202">
        <f t="shared" si="9"/>
        <v>8707.080420574026</v>
      </c>
      <c r="AR16" s="199">
        <f t="shared" si="10"/>
        <v>149.91666666666666</v>
      </c>
      <c r="AS16" s="13"/>
      <c r="AT16" s="159">
        <v>0</v>
      </c>
      <c r="AU16" s="159">
        <v>0</v>
      </c>
      <c r="AV16" s="159">
        <v>0</v>
      </c>
      <c r="AW16" s="159">
        <v>0</v>
      </c>
      <c r="AX16" s="159">
        <v>9</v>
      </c>
      <c r="AY16" s="159">
        <v>42</v>
      </c>
      <c r="AZ16" s="159">
        <v>0</v>
      </c>
      <c r="BA16" s="4"/>
      <c r="BB16" s="175">
        <v>1081</v>
      </c>
      <c r="BC16" s="175">
        <v>1127</v>
      </c>
      <c r="BD16" s="175">
        <v>1418</v>
      </c>
      <c r="BE16" s="175">
        <f t="shared" si="11"/>
        <v>46</v>
      </c>
      <c r="BF16" s="177">
        <f t="shared" si="12"/>
        <v>8707.080420574026</v>
      </c>
      <c r="BG16" s="177">
        <f t="shared" si="13"/>
        <v>59.083333333333336</v>
      </c>
      <c r="BH16" s="178">
        <v>2.0590000000000002</v>
      </c>
      <c r="BI16" s="156">
        <v>2.0590000000000002</v>
      </c>
      <c r="BJ16" s="177">
        <v>27.2</v>
      </c>
      <c r="BK16" s="175">
        <v>28.45</v>
      </c>
      <c r="BL16" s="175">
        <v>23.31</v>
      </c>
      <c r="BM16" s="175">
        <v>28.63</v>
      </c>
      <c r="BN16" s="179">
        <v>995.5</v>
      </c>
      <c r="BO16" s="179">
        <v>50.04</v>
      </c>
      <c r="BP16" s="185">
        <v>0.93789999999999996</v>
      </c>
      <c r="BQ16" s="177">
        <v>95.74</v>
      </c>
      <c r="BR16" s="177">
        <v>86.44</v>
      </c>
      <c r="BS16" s="49">
        <f t="shared" si="14"/>
        <v>-9.2999999999999972</v>
      </c>
      <c r="BT16" s="175">
        <v>12368</v>
      </c>
      <c r="BU16" s="175">
        <v>11855</v>
      </c>
      <c r="BV16" s="51">
        <f t="shared" si="15"/>
        <v>-513</v>
      </c>
      <c r="BW16" s="175">
        <f t="shared" si="16"/>
        <v>4.1180000000000003</v>
      </c>
      <c r="BX16" s="177">
        <v>24</v>
      </c>
      <c r="BY16" s="177">
        <v>24</v>
      </c>
      <c r="CA16" s="177">
        <v>24</v>
      </c>
      <c r="CB16" s="177">
        <v>7.1</v>
      </c>
      <c r="CD16" s="177">
        <v>2.1</v>
      </c>
      <c r="CE16" s="177">
        <v>3.5</v>
      </c>
      <c r="CF16" s="177">
        <v>1.8</v>
      </c>
      <c r="CG16" s="177">
        <v>1.7</v>
      </c>
    </row>
    <row r="17" spans="1:85">
      <c r="A17" s="452"/>
      <c r="B17" s="24">
        <v>43169</v>
      </c>
      <c r="C17" s="157">
        <v>73.2</v>
      </c>
      <c r="D17" s="197">
        <v>0.59799999999999998</v>
      </c>
      <c r="E17" s="157">
        <v>60.06</v>
      </c>
      <c r="F17" s="159">
        <v>88</v>
      </c>
      <c r="G17" s="159">
        <v>62</v>
      </c>
      <c r="H17" s="159">
        <v>24</v>
      </c>
      <c r="I17" s="159">
        <v>0</v>
      </c>
      <c r="J17" s="159">
        <v>24</v>
      </c>
      <c r="K17" s="159">
        <v>0</v>
      </c>
      <c r="L17" s="161">
        <v>0</v>
      </c>
      <c r="M17" s="161">
        <v>0</v>
      </c>
      <c r="N17" s="161">
        <v>0</v>
      </c>
      <c r="O17" s="161">
        <v>0</v>
      </c>
      <c r="P17" s="161">
        <v>24</v>
      </c>
      <c r="Q17" s="159">
        <v>0</v>
      </c>
      <c r="R17" s="159">
        <v>3653</v>
      </c>
      <c r="S17" s="159">
        <v>3592</v>
      </c>
      <c r="T17" s="159">
        <v>3592</v>
      </c>
      <c r="U17" s="159">
        <v>3517</v>
      </c>
      <c r="V17" s="159">
        <v>3624</v>
      </c>
      <c r="W17" s="159">
        <v>45</v>
      </c>
      <c r="X17" s="159">
        <v>0</v>
      </c>
      <c r="Y17" s="159">
        <v>47</v>
      </c>
      <c r="Z17" s="161">
        <v>0</v>
      </c>
      <c r="AA17" s="161">
        <v>59</v>
      </c>
      <c r="AB17" s="161">
        <v>0</v>
      </c>
      <c r="AC17" s="165">
        <f t="shared" si="0"/>
        <v>107</v>
      </c>
      <c r="AD17" s="166">
        <f t="shared" si="1"/>
        <v>-75</v>
      </c>
      <c r="AE17" s="159">
        <v>154</v>
      </c>
      <c r="AF17" s="167">
        <f t="shared" si="2"/>
        <v>0.98051948051948057</v>
      </c>
      <c r="AG17" s="168">
        <f t="shared" si="3"/>
        <v>152.20833333333334</v>
      </c>
      <c r="AH17" s="167">
        <f t="shared" si="4"/>
        <v>0.9627703257596496</v>
      </c>
      <c r="AI17" s="169">
        <f t="shared" ref="AI17:AI39" si="17">IF(U17&gt;0,(1440-((W17*X17)+(Y17*Z17)+(AA17*AB17))/(W17+Y17+AA17))/1440,"no data")</f>
        <v>1</v>
      </c>
      <c r="AJ17" s="170">
        <f t="shared" si="6"/>
        <v>1</v>
      </c>
      <c r="AK17" s="236">
        <v>9.7629999999999999</v>
      </c>
      <c r="AL17" s="240">
        <v>135.36000000000001</v>
      </c>
      <c r="AM17" s="275">
        <f t="shared" si="7"/>
        <v>1321.5196800000001</v>
      </c>
      <c r="AN17" s="236">
        <v>30.366199999999999</v>
      </c>
      <c r="AO17" s="317">
        <v>962.4971185067609</v>
      </c>
      <c r="AP17" s="172">
        <f t="shared" si="8"/>
        <v>29227.38</v>
      </c>
      <c r="AQ17" s="202">
        <f t="shared" si="9"/>
        <v>8686.0675803241393</v>
      </c>
      <c r="AR17" s="199">
        <f t="shared" si="10"/>
        <v>149.66666666666666</v>
      </c>
      <c r="AS17" s="13"/>
      <c r="AT17" s="159">
        <v>0</v>
      </c>
      <c r="AU17" s="159">
        <v>0</v>
      </c>
      <c r="AV17" s="159">
        <v>0</v>
      </c>
      <c r="AW17" s="159">
        <v>0</v>
      </c>
      <c r="AX17" s="159">
        <v>0</v>
      </c>
      <c r="AY17" s="159">
        <v>0</v>
      </c>
      <c r="AZ17" s="159">
        <v>0</v>
      </c>
      <c r="BA17" s="4"/>
      <c r="BB17" s="175">
        <v>1075</v>
      </c>
      <c r="BC17" s="175">
        <v>1125</v>
      </c>
      <c r="BD17" s="175">
        <v>1424</v>
      </c>
      <c r="BE17" s="175">
        <f t="shared" si="11"/>
        <v>50</v>
      </c>
      <c r="BF17" s="177">
        <f t="shared" si="12"/>
        <v>8686.0675803241393</v>
      </c>
      <c r="BG17" s="177">
        <f t="shared" si="13"/>
        <v>59.333333333333336</v>
      </c>
      <c r="BH17" s="178">
        <v>2.0910000000000002</v>
      </c>
      <c r="BI17" s="156">
        <v>2.0910000000000002</v>
      </c>
      <c r="BJ17" s="177">
        <v>27.2</v>
      </c>
      <c r="BK17" s="175">
        <v>28.21</v>
      </c>
      <c r="BL17" s="175">
        <v>23.12</v>
      </c>
      <c r="BM17" s="175">
        <v>28.65</v>
      </c>
      <c r="BN17" s="179">
        <v>994.1</v>
      </c>
      <c r="BO17" s="179">
        <v>50.05</v>
      </c>
      <c r="BP17" s="185">
        <v>0.93740000000000001</v>
      </c>
      <c r="BQ17" s="177">
        <v>95.77</v>
      </c>
      <c r="BR17" s="186">
        <v>86.45</v>
      </c>
      <c r="BS17" s="49">
        <f t="shared" si="14"/>
        <v>-9.3199999999999932</v>
      </c>
      <c r="BT17" s="175">
        <v>12333</v>
      </c>
      <c r="BU17" s="175">
        <v>11806</v>
      </c>
      <c r="BV17" s="51">
        <f t="shared" si="15"/>
        <v>-527</v>
      </c>
      <c r="BW17" s="175">
        <f t="shared" si="16"/>
        <v>4.1820000000000004</v>
      </c>
      <c r="BX17" s="177">
        <v>24</v>
      </c>
      <c r="BY17" s="177">
        <v>24</v>
      </c>
      <c r="CA17" s="177">
        <v>24</v>
      </c>
      <c r="CB17" s="177">
        <v>6.9</v>
      </c>
      <c r="CD17" s="177">
        <v>2.2000000000000002</v>
      </c>
      <c r="CE17" s="177">
        <v>3.6</v>
      </c>
      <c r="CF17" s="177">
        <v>1.8</v>
      </c>
      <c r="CG17" s="177">
        <v>1.6</v>
      </c>
    </row>
    <row r="18" spans="1:85">
      <c r="A18" s="453"/>
      <c r="B18" s="24">
        <v>43170</v>
      </c>
      <c r="C18" s="157">
        <v>75.61</v>
      </c>
      <c r="D18" s="197">
        <v>0.60640000000000005</v>
      </c>
      <c r="E18" s="157">
        <v>62.24</v>
      </c>
      <c r="F18" s="159">
        <v>91</v>
      </c>
      <c r="G18" s="159">
        <v>67</v>
      </c>
      <c r="H18" s="159">
        <v>24</v>
      </c>
      <c r="I18" s="159">
        <v>0</v>
      </c>
      <c r="J18" s="159">
        <v>24</v>
      </c>
      <c r="K18" s="159">
        <v>0</v>
      </c>
      <c r="L18" s="159">
        <v>0</v>
      </c>
      <c r="M18" s="159">
        <v>0</v>
      </c>
      <c r="N18" s="187">
        <v>0</v>
      </c>
      <c r="O18" s="187">
        <v>0</v>
      </c>
      <c r="P18" s="187">
        <v>0</v>
      </c>
      <c r="Q18" s="159">
        <v>0</v>
      </c>
      <c r="R18" s="159">
        <v>3636</v>
      </c>
      <c r="S18" s="159">
        <v>3189</v>
      </c>
      <c r="T18" s="159">
        <v>3189</v>
      </c>
      <c r="U18" s="159">
        <v>3122</v>
      </c>
      <c r="V18" s="159">
        <v>3216</v>
      </c>
      <c r="W18" s="159">
        <v>44</v>
      </c>
      <c r="X18" s="159">
        <v>0</v>
      </c>
      <c r="Y18" s="159">
        <v>46</v>
      </c>
      <c r="Z18" s="159">
        <v>0</v>
      </c>
      <c r="AA18" s="159">
        <v>59</v>
      </c>
      <c r="AB18" s="187">
        <v>0</v>
      </c>
      <c r="AC18" s="165">
        <f t="shared" si="0"/>
        <v>94</v>
      </c>
      <c r="AD18" s="166">
        <f t="shared" si="1"/>
        <v>-67</v>
      </c>
      <c r="AE18" s="159">
        <v>137</v>
      </c>
      <c r="AF18" s="167">
        <f t="shared" si="2"/>
        <v>0.97810218978102192</v>
      </c>
      <c r="AG18" s="168">
        <f t="shared" si="3"/>
        <v>151.5</v>
      </c>
      <c r="AH18" s="167">
        <f t="shared" si="4"/>
        <v>0.85863586358635868</v>
      </c>
      <c r="AI18" s="169">
        <f t="shared" si="17"/>
        <v>1</v>
      </c>
      <c r="AJ18" s="170">
        <f t="shared" si="6"/>
        <v>0.89261744966442946</v>
      </c>
      <c r="AK18" s="236">
        <v>9.8780000000000001</v>
      </c>
      <c r="AL18" s="240">
        <v>137.72999999999999</v>
      </c>
      <c r="AM18" s="275">
        <f t="shared" si="7"/>
        <v>1360.49694</v>
      </c>
      <c r="AN18" s="236">
        <v>25.982209999999998</v>
      </c>
      <c r="AO18" s="317">
        <v>962.79608239637821</v>
      </c>
      <c r="AP18" s="172">
        <f t="shared" si="8"/>
        <v>25015.57</v>
      </c>
      <c r="AQ18" s="202">
        <f t="shared" si="9"/>
        <v>8448.4519346572706</v>
      </c>
      <c r="AR18" s="199">
        <f t="shared" si="10"/>
        <v>132.875</v>
      </c>
      <c r="AS18" s="13"/>
      <c r="AT18" s="159">
        <v>0</v>
      </c>
      <c r="AU18" s="159">
        <v>0</v>
      </c>
      <c r="AV18" s="159">
        <v>0</v>
      </c>
      <c r="AW18" s="159">
        <v>0</v>
      </c>
      <c r="AX18" s="174">
        <v>16</v>
      </c>
      <c r="AY18" s="159">
        <v>1440</v>
      </c>
      <c r="AZ18" s="159">
        <v>0</v>
      </c>
      <c r="BA18" s="4"/>
      <c r="BB18" s="175">
        <v>1066</v>
      </c>
      <c r="BC18" s="175">
        <v>1112</v>
      </c>
      <c r="BD18" s="175">
        <v>1038</v>
      </c>
      <c r="BE18" s="175">
        <f t="shared" si="11"/>
        <v>46</v>
      </c>
      <c r="BF18" s="177">
        <f t="shared" si="12"/>
        <v>8448.4519346572706</v>
      </c>
      <c r="BG18" s="177">
        <f t="shared" si="13"/>
        <v>43.25</v>
      </c>
      <c r="BH18" s="178">
        <v>0</v>
      </c>
      <c r="BI18" s="156">
        <v>0</v>
      </c>
      <c r="BJ18" s="177">
        <v>27.2</v>
      </c>
      <c r="BK18" s="175">
        <v>28.06</v>
      </c>
      <c r="BL18" s="175">
        <v>22.9</v>
      </c>
      <c r="BM18" s="175">
        <v>28.75</v>
      </c>
      <c r="BN18" s="179">
        <v>992.6</v>
      </c>
      <c r="BO18" s="179">
        <v>50.03</v>
      </c>
      <c r="BP18" s="180">
        <v>0.93640000000000001</v>
      </c>
      <c r="BQ18" s="186">
        <v>95.96</v>
      </c>
      <c r="BR18" s="186">
        <v>86.48</v>
      </c>
      <c r="BS18" s="49">
        <f t="shared" si="14"/>
        <v>-9.4799999999999898</v>
      </c>
      <c r="BT18" s="175">
        <v>12653</v>
      </c>
      <c r="BU18" s="175">
        <v>12347</v>
      </c>
      <c r="BV18" s="51">
        <f t="shared" si="15"/>
        <v>-306</v>
      </c>
      <c r="BW18" s="175">
        <f t="shared" si="16"/>
        <v>0</v>
      </c>
      <c r="BX18" s="177">
        <v>0</v>
      </c>
      <c r="BY18" s="177">
        <v>0</v>
      </c>
      <c r="CA18" s="177">
        <v>24</v>
      </c>
      <c r="CB18" s="177">
        <v>7.53</v>
      </c>
      <c r="CD18" s="177">
        <v>2.2000000000000002</v>
      </c>
      <c r="CE18" s="177">
        <v>3.7</v>
      </c>
      <c r="CF18" s="177">
        <v>1.7</v>
      </c>
      <c r="CG18" s="177">
        <v>1.6</v>
      </c>
    </row>
    <row r="19" spans="1:85" ht="15" customHeight="1">
      <c r="A19" s="451" t="s">
        <v>163</v>
      </c>
      <c r="B19" s="24">
        <v>43171</v>
      </c>
      <c r="C19" s="25">
        <v>76.7</v>
      </c>
      <c r="D19" s="26">
        <v>0.6109</v>
      </c>
      <c r="E19" s="25">
        <v>63.34</v>
      </c>
      <c r="F19" s="27">
        <v>94</v>
      </c>
      <c r="G19" s="27">
        <v>64</v>
      </c>
      <c r="H19" s="27">
        <v>24</v>
      </c>
      <c r="I19" s="27">
        <v>0</v>
      </c>
      <c r="J19" s="27">
        <v>24</v>
      </c>
      <c r="K19" s="27">
        <v>0</v>
      </c>
      <c r="L19" s="27">
        <v>0</v>
      </c>
      <c r="M19" s="27">
        <v>0</v>
      </c>
      <c r="N19" s="29">
        <v>0</v>
      </c>
      <c r="O19" s="29">
        <v>0</v>
      </c>
      <c r="P19" s="29">
        <v>13</v>
      </c>
      <c r="Q19" s="27">
        <v>0</v>
      </c>
      <c r="R19" s="251">
        <v>3621</v>
      </c>
      <c r="S19" s="27">
        <v>3388</v>
      </c>
      <c r="T19" s="27">
        <v>3388</v>
      </c>
      <c r="U19" s="27">
        <v>3314</v>
      </c>
      <c r="V19" s="27">
        <v>3416</v>
      </c>
      <c r="W19" s="27">
        <v>44</v>
      </c>
      <c r="X19" s="27">
        <v>0</v>
      </c>
      <c r="Y19" s="27">
        <v>46</v>
      </c>
      <c r="Z19" s="27">
        <v>0</v>
      </c>
      <c r="AA19" s="27">
        <v>59</v>
      </c>
      <c r="AB19" s="29">
        <v>0</v>
      </c>
      <c r="AC19" s="32">
        <f t="shared" si="0"/>
        <v>102</v>
      </c>
      <c r="AD19" s="33">
        <f t="shared" si="1"/>
        <v>-74</v>
      </c>
      <c r="AE19" s="27">
        <v>151</v>
      </c>
      <c r="AF19" s="34">
        <f t="shared" si="2"/>
        <v>0.94260485651214132</v>
      </c>
      <c r="AG19" s="35">
        <f t="shared" si="3"/>
        <v>150.875</v>
      </c>
      <c r="AH19" s="34">
        <f t="shared" si="4"/>
        <v>0.91521679094172881</v>
      </c>
      <c r="AI19" s="226">
        <f t="shared" si="17"/>
        <v>1</v>
      </c>
      <c r="AJ19" s="37">
        <f t="shared" si="6"/>
        <v>0.95078299776286346</v>
      </c>
      <c r="AK19" s="236">
        <v>9.6999999999999993</v>
      </c>
      <c r="AL19" s="240">
        <v>132.62</v>
      </c>
      <c r="AM19" s="38">
        <f t="shared" si="7"/>
        <v>1286.414</v>
      </c>
      <c r="AN19" s="236">
        <v>28.38871</v>
      </c>
      <c r="AO19" s="317">
        <v>963.18501263354347</v>
      </c>
      <c r="AP19" s="39">
        <f t="shared" si="8"/>
        <v>27343.58</v>
      </c>
      <c r="AQ19" s="201">
        <f t="shared" si="9"/>
        <v>8639.1050090525041</v>
      </c>
      <c r="AR19" s="198">
        <f t="shared" si="10"/>
        <v>141.16666666666666</v>
      </c>
      <c r="AS19" s="13"/>
      <c r="AT19" s="27">
        <v>0</v>
      </c>
      <c r="AU19" s="40">
        <v>0</v>
      </c>
      <c r="AV19" s="40">
        <v>0</v>
      </c>
      <c r="AW19" s="27">
        <v>0</v>
      </c>
      <c r="AX19" s="40">
        <v>16</v>
      </c>
      <c r="AY19" s="27">
        <v>660</v>
      </c>
      <c r="AZ19" s="27">
        <v>0</v>
      </c>
      <c r="BA19" s="4"/>
      <c r="BB19" s="52">
        <v>1060</v>
      </c>
      <c r="BC19" s="52">
        <v>1105</v>
      </c>
      <c r="BD19" s="52">
        <v>1251</v>
      </c>
      <c r="BE19" s="41">
        <f t="shared" si="11"/>
        <v>45</v>
      </c>
      <c r="BF19" s="41">
        <f t="shared" si="12"/>
        <v>8639.1050090525041</v>
      </c>
      <c r="BG19" s="60">
        <f t="shared" si="13"/>
        <v>52.125</v>
      </c>
      <c r="BH19" s="61">
        <v>1.3049999999999999</v>
      </c>
      <c r="BI19" s="62">
        <v>1.3049999999999999</v>
      </c>
      <c r="BJ19" s="42">
        <v>27.2</v>
      </c>
      <c r="BK19" s="41">
        <v>27.99</v>
      </c>
      <c r="BL19" s="41">
        <v>22.9</v>
      </c>
      <c r="BM19" s="41">
        <v>28.7</v>
      </c>
      <c r="BN19" s="63">
        <v>991.4</v>
      </c>
      <c r="BO19" s="63">
        <v>50.02</v>
      </c>
      <c r="BP19" s="64">
        <v>0.93820000000000003</v>
      </c>
      <c r="BQ19" s="42">
        <v>95.98</v>
      </c>
      <c r="BR19" s="42">
        <v>86.48</v>
      </c>
      <c r="BS19" s="49">
        <f t="shared" si="14"/>
        <v>-9.5</v>
      </c>
      <c r="BT19" s="41">
        <v>12846</v>
      </c>
      <c r="BU19" s="41">
        <v>12584</v>
      </c>
      <c r="BV19" s="51">
        <f t="shared" si="15"/>
        <v>-262</v>
      </c>
      <c r="BW19" s="41">
        <f t="shared" si="16"/>
        <v>2.61</v>
      </c>
      <c r="BX19" s="42">
        <v>13</v>
      </c>
      <c r="BY19" s="42">
        <v>13</v>
      </c>
      <c r="CA19" s="42">
        <v>24</v>
      </c>
      <c r="CB19" s="42">
        <v>7.33</v>
      </c>
      <c r="CD19" s="42">
        <v>2.1</v>
      </c>
      <c r="CE19" s="42">
        <v>3.6</v>
      </c>
      <c r="CF19" s="42">
        <v>1.7</v>
      </c>
      <c r="CG19" s="42">
        <v>1.5</v>
      </c>
    </row>
    <row r="20" spans="1:85">
      <c r="A20" s="452"/>
      <c r="B20" s="24">
        <v>43172</v>
      </c>
      <c r="C20" s="25">
        <v>77.8</v>
      </c>
      <c r="D20" s="26">
        <v>0.61799999999999999</v>
      </c>
      <c r="E20" s="25">
        <v>64.5</v>
      </c>
      <c r="F20" s="27">
        <v>98</v>
      </c>
      <c r="G20" s="27">
        <v>66</v>
      </c>
      <c r="H20" s="27">
        <v>24</v>
      </c>
      <c r="I20" s="27">
        <v>0</v>
      </c>
      <c r="J20" s="27">
        <v>24</v>
      </c>
      <c r="K20" s="27">
        <v>0</v>
      </c>
      <c r="L20" s="29">
        <v>0</v>
      </c>
      <c r="M20" s="29">
        <v>0</v>
      </c>
      <c r="N20" s="29">
        <v>0</v>
      </c>
      <c r="O20" s="29">
        <v>0</v>
      </c>
      <c r="P20" s="29">
        <v>24</v>
      </c>
      <c r="Q20" s="27">
        <v>0</v>
      </c>
      <c r="R20" s="252">
        <v>3617</v>
      </c>
      <c r="S20" s="253">
        <v>3553</v>
      </c>
      <c r="T20" s="27">
        <v>3553</v>
      </c>
      <c r="U20" s="27">
        <v>3467</v>
      </c>
      <c r="V20" s="27">
        <v>3576</v>
      </c>
      <c r="W20" s="27">
        <v>44</v>
      </c>
      <c r="X20" s="27">
        <v>0</v>
      </c>
      <c r="Y20" s="27">
        <v>46</v>
      </c>
      <c r="Z20" s="29">
        <v>0</v>
      </c>
      <c r="AA20" s="29">
        <v>60</v>
      </c>
      <c r="AB20" s="29">
        <v>0</v>
      </c>
      <c r="AC20" s="32">
        <f t="shared" si="0"/>
        <v>109</v>
      </c>
      <c r="AD20" s="33">
        <f t="shared" si="1"/>
        <v>-86</v>
      </c>
      <c r="AE20" s="27">
        <v>152</v>
      </c>
      <c r="AF20" s="34">
        <f t="shared" si="2"/>
        <v>0.98026315789473684</v>
      </c>
      <c r="AG20" s="35">
        <f t="shared" si="3"/>
        <v>150.70833333333334</v>
      </c>
      <c r="AH20" s="34">
        <f t="shared" si="4"/>
        <v>0.95852916781863418</v>
      </c>
      <c r="AI20" s="226">
        <f t="shared" si="17"/>
        <v>1</v>
      </c>
      <c r="AJ20" s="37">
        <f t="shared" si="6"/>
        <v>1</v>
      </c>
      <c r="AK20" s="236">
        <v>9.7279999999999998</v>
      </c>
      <c r="AL20" s="240">
        <v>135.75</v>
      </c>
      <c r="AM20" s="38">
        <f t="shared" si="7"/>
        <v>1320.576</v>
      </c>
      <c r="AN20" s="236">
        <v>30.284089999999999</v>
      </c>
      <c r="AO20" s="317">
        <v>959.09073047927143</v>
      </c>
      <c r="AP20" s="39">
        <f t="shared" si="8"/>
        <v>29045.19</v>
      </c>
      <c r="AQ20" s="201">
        <f t="shared" si="9"/>
        <v>8758.5134121719075</v>
      </c>
      <c r="AR20" s="198">
        <f t="shared" si="10"/>
        <v>148.04166666666666</v>
      </c>
      <c r="AS20" s="13"/>
      <c r="AT20" s="27">
        <v>0</v>
      </c>
      <c r="AU20" s="40">
        <v>0</v>
      </c>
      <c r="AV20" s="40">
        <v>0</v>
      </c>
      <c r="AW20" s="40">
        <v>0</v>
      </c>
      <c r="AX20" s="40">
        <v>0</v>
      </c>
      <c r="AY20" s="40">
        <v>0</v>
      </c>
      <c r="AZ20" s="27">
        <v>0</v>
      </c>
      <c r="BA20" s="4"/>
      <c r="BB20" s="52">
        <v>1053</v>
      </c>
      <c r="BC20" s="52">
        <v>1097</v>
      </c>
      <c r="BD20" s="52">
        <v>1426</v>
      </c>
      <c r="BE20" s="41">
        <f t="shared" si="11"/>
        <v>44</v>
      </c>
      <c r="BF20" s="41">
        <f t="shared" si="12"/>
        <v>8758.5134121719075</v>
      </c>
      <c r="BG20" s="60">
        <f t="shared" si="13"/>
        <v>59.416666666666664</v>
      </c>
      <c r="BH20" s="43">
        <v>2.16</v>
      </c>
      <c r="BI20" s="44">
        <v>2.2530000000000001</v>
      </c>
      <c r="BJ20" s="45">
        <v>27.2</v>
      </c>
      <c r="BK20" s="47">
        <v>27.88</v>
      </c>
      <c r="BL20" s="47">
        <v>22.77</v>
      </c>
      <c r="BM20" s="47">
        <v>28.75</v>
      </c>
      <c r="BN20" s="47">
        <v>988.3</v>
      </c>
      <c r="BO20" s="45">
        <v>50.07</v>
      </c>
      <c r="BP20" s="48">
        <v>0.93730000000000002</v>
      </c>
      <c r="BQ20" s="42">
        <v>96.02</v>
      </c>
      <c r="BR20" s="42">
        <v>86.53</v>
      </c>
      <c r="BS20" s="49">
        <f t="shared" si="14"/>
        <v>-9.4899999999999949</v>
      </c>
      <c r="BT20" s="41">
        <v>12436</v>
      </c>
      <c r="BU20" s="41">
        <v>11956</v>
      </c>
      <c r="BV20" s="51">
        <f t="shared" si="15"/>
        <v>-480</v>
      </c>
      <c r="BW20" s="41">
        <f t="shared" si="16"/>
        <v>4.4130000000000003</v>
      </c>
      <c r="BX20" s="42">
        <v>24</v>
      </c>
      <c r="BY20" s="42">
        <v>24</v>
      </c>
      <c r="CA20" s="42">
        <v>24</v>
      </c>
      <c r="CB20" s="42">
        <v>6.98</v>
      </c>
      <c r="CD20" s="42">
        <v>2.1</v>
      </c>
      <c r="CE20" s="42">
        <v>3.4</v>
      </c>
      <c r="CF20" s="42">
        <v>1.7</v>
      </c>
      <c r="CG20" s="42">
        <v>1.6</v>
      </c>
    </row>
    <row r="21" spans="1:85">
      <c r="A21" s="452"/>
      <c r="B21" s="24">
        <v>43173</v>
      </c>
      <c r="C21" s="25">
        <v>73.900000000000006</v>
      </c>
      <c r="D21" s="26">
        <v>0.65900000000000003</v>
      </c>
      <c r="E21" s="25">
        <v>63.2</v>
      </c>
      <c r="F21" s="27">
        <v>83</v>
      </c>
      <c r="G21" s="27">
        <v>65</v>
      </c>
      <c r="H21" s="27">
        <v>24</v>
      </c>
      <c r="I21" s="27">
        <v>0</v>
      </c>
      <c r="J21" s="27">
        <v>24</v>
      </c>
      <c r="K21" s="27">
        <v>0</v>
      </c>
      <c r="L21" s="29">
        <v>0</v>
      </c>
      <c r="M21" s="29">
        <v>0</v>
      </c>
      <c r="N21" s="29">
        <v>0</v>
      </c>
      <c r="O21" s="29">
        <v>0</v>
      </c>
      <c r="P21" s="29">
        <v>24</v>
      </c>
      <c r="Q21" s="27">
        <v>0</v>
      </c>
      <c r="R21" s="252">
        <v>3656</v>
      </c>
      <c r="S21" s="253">
        <v>3553</v>
      </c>
      <c r="T21" s="253">
        <v>3553</v>
      </c>
      <c r="U21" s="253">
        <v>3473</v>
      </c>
      <c r="V21" s="253">
        <v>3581</v>
      </c>
      <c r="W21" s="27">
        <v>44</v>
      </c>
      <c r="X21" s="27">
        <v>0</v>
      </c>
      <c r="Y21" s="27">
        <v>46</v>
      </c>
      <c r="Z21" s="29">
        <v>0</v>
      </c>
      <c r="AA21" s="29">
        <v>59</v>
      </c>
      <c r="AB21" s="29">
        <v>0</v>
      </c>
      <c r="AC21" s="32">
        <f t="shared" si="0"/>
        <v>108</v>
      </c>
      <c r="AD21" s="33">
        <f t="shared" si="1"/>
        <v>-80</v>
      </c>
      <c r="AE21" s="27">
        <v>152</v>
      </c>
      <c r="AF21" s="34">
        <f t="shared" si="2"/>
        <v>0.98163377192982459</v>
      </c>
      <c r="AG21" s="35">
        <f t="shared" si="3"/>
        <v>152.33333333333334</v>
      </c>
      <c r="AH21" s="34">
        <f t="shared" si="4"/>
        <v>0.94994529540481398</v>
      </c>
      <c r="AI21" s="226">
        <f t="shared" si="17"/>
        <v>1</v>
      </c>
      <c r="AJ21" s="37">
        <f t="shared" si="6"/>
        <v>1</v>
      </c>
      <c r="AK21" s="236">
        <v>9.6620000000000008</v>
      </c>
      <c r="AL21" s="240">
        <v>134.83000000000001</v>
      </c>
      <c r="AM21" s="38">
        <f t="shared" si="7"/>
        <v>1302.7274600000003</v>
      </c>
      <c r="AN21" s="236">
        <v>30.208509999999997</v>
      </c>
      <c r="AO21" s="317">
        <v>963.29908360260083</v>
      </c>
      <c r="AP21" s="39">
        <f t="shared" si="8"/>
        <v>29099.83</v>
      </c>
      <c r="AQ21" s="201">
        <f t="shared" si="9"/>
        <v>8753.975657932624</v>
      </c>
      <c r="AR21" s="198">
        <f t="shared" si="10"/>
        <v>148.04166666666666</v>
      </c>
      <c r="AS21" s="13"/>
      <c r="AT21" s="27">
        <v>0</v>
      </c>
      <c r="AU21" s="40">
        <v>0</v>
      </c>
      <c r="AV21" s="40">
        <v>0</v>
      </c>
      <c r="AW21" s="27">
        <v>0</v>
      </c>
      <c r="AX21" s="40">
        <v>0</v>
      </c>
      <c r="AY21" s="27">
        <v>0</v>
      </c>
      <c r="AZ21" s="27">
        <v>0</v>
      </c>
      <c r="BA21" s="4"/>
      <c r="BB21" s="52">
        <v>1058</v>
      </c>
      <c r="BC21" s="52">
        <v>1103</v>
      </c>
      <c r="BD21" s="52">
        <v>1420</v>
      </c>
      <c r="BE21" s="41">
        <f t="shared" si="11"/>
        <v>45</v>
      </c>
      <c r="BF21" s="41">
        <f t="shared" si="12"/>
        <v>8753.975657932624</v>
      </c>
      <c r="BG21" s="60">
        <f t="shared" si="13"/>
        <v>59.166666666666664</v>
      </c>
      <c r="BH21" s="43">
        <v>2.16</v>
      </c>
      <c r="BI21" s="44">
        <v>2.16</v>
      </c>
      <c r="BJ21" s="45">
        <v>27.2</v>
      </c>
      <c r="BK21" s="47">
        <v>27.93</v>
      </c>
      <c r="BL21" s="47">
        <v>22.79</v>
      </c>
      <c r="BM21" s="47">
        <v>28.71</v>
      </c>
      <c r="BN21" s="66">
        <v>987.13</v>
      </c>
      <c r="BO21" s="45">
        <v>50.07</v>
      </c>
      <c r="BP21" s="48">
        <v>0.93789999999999996</v>
      </c>
      <c r="BQ21" s="42">
        <v>95.99</v>
      </c>
      <c r="BR21" s="42">
        <v>86.48</v>
      </c>
      <c r="BS21" s="49">
        <f t="shared" si="14"/>
        <v>-9.5099999999999909</v>
      </c>
      <c r="BT21" s="41">
        <v>12390</v>
      </c>
      <c r="BU21" s="41">
        <v>11912</v>
      </c>
      <c r="BV21" s="51">
        <f t="shared" si="15"/>
        <v>-478</v>
      </c>
      <c r="BW21" s="41">
        <f t="shared" si="16"/>
        <v>4.32</v>
      </c>
      <c r="BX21" s="42">
        <v>24</v>
      </c>
      <c r="BY21" s="42">
        <v>24</v>
      </c>
      <c r="CA21" s="42">
        <v>24</v>
      </c>
      <c r="CB21" s="42">
        <v>5.78</v>
      </c>
      <c r="CD21" s="42">
        <v>2.2000000000000002</v>
      </c>
      <c r="CE21" s="42">
        <v>3.6</v>
      </c>
      <c r="CF21" s="42">
        <v>1.8</v>
      </c>
      <c r="CG21" s="42">
        <v>1.6</v>
      </c>
    </row>
    <row r="22" spans="1:85">
      <c r="A22" s="452"/>
      <c r="B22" s="24">
        <v>43174</v>
      </c>
      <c r="C22" s="25">
        <v>74.56</v>
      </c>
      <c r="D22" s="26">
        <v>0.53480000000000005</v>
      </c>
      <c r="E22" s="38">
        <v>59.15</v>
      </c>
      <c r="F22" s="27">
        <v>87</v>
      </c>
      <c r="G22" s="27">
        <v>64</v>
      </c>
      <c r="H22" s="27">
        <v>24</v>
      </c>
      <c r="I22" s="27">
        <v>0</v>
      </c>
      <c r="J22" s="27">
        <v>24</v>
      </c>
      <c r="K22" s="27">
        <v>0</v>
      </c>
      <c r="L22" s="29">
        <v>0</v>
      </c>
      <c r="M22" s="29">
        <v>0</v>
      </c>
      <c r="N22" s="29">
        <v>0</v>
      </c>
      <c r="O22" s="29">
        <v>0</v>
      </c>
      <c r="P22" s="29">
        <v>24</v>
      </c>
      <c r="Q22" s="27">
        <v>0</v>
      </c>
      <c r="R22" s="252">
        <v>3643</v>
      </c>
      <c r="S22" s="253">
        <v>3570</v>
      </c>
      <c r="T22" s="27">
        <v>3570</v>
      </c>
      <c r="U22" s="27">
        <v>3512</v>
      </c>
      <c r="V22" s="27">
        <v>3621</v>
      </c>
      <c r="W22" s="27">
        <v>45</v>
      </c>
      <c r="X22" s="27">
        <v>0</v>
      </c>
      <c r="Y22" s="27">
        <v>47</v>
      </c>
      <c r="Z22" s="29">
        <v>0</v>
      </c>
      <c r="AA22" s="29">
        <v>59</v>
      </c>
      <c r="AB22" s="29">
        <v>0</v>
      </c>
      <c r="AC22" s="32">
        <f t="shared" si="0"/>
        <v>109</v>
      </c>
      <c r="AD22" s="33">
        <f t="shared" si="1"/>
        <v>-58</v>
      </c>
      <c r="AE22" s="27">
        <v>154</v>
      </c>
      <c r="AF22" s="34">
        <f t="shared" si="2"/>
        <v>0.97970779220779225</v>
      </c>
      <c r="AG22" s="35">
        <f t="shared" si="3"/>
        <v>151.79166666666666</v>
      </c>
      <c r="AH22" s="34">
        <f t="shared" si="4"/>
        <v>0.96404062585780947</v>
      </c>
      <c r="AI22" s="226">
        <f t="shared" si="17"/>
        <v>1</v>
      </c>
      <c r="AJ22" s="37">
        <f t="shared" si="6"/>
        <v>1</v>
      </c>
      <c r="AK22" s="236">
        <v>9.73</v>
      </c>
      <c r="AL22" s="240">
        <v>134.97</v>
      </c>
      <c r="AM22" s="38">
        <f t="shared" si="7"/>
        <v>1313.2581</v>
      </c>
      <c r="AN22" s="236">
        <v>30.292270000000002</v>
      </c>
      <c r="AO22" s="317">
        <v>965.24624929066056</v>
      </c>
      <c r="AP22" s="39">
        <f t="shared" si="8"/>
        <v>29239.5</v>
      </c>
      <c r="AQ22" s="201">
        <f t="shared" si="9"/>
        <v>8699.5324886104772</v>
      </c>
      <c r="AR22" s="198">
        <f t="shared" si="10"/>
        <v>148.75</v>
      </c>
      <c r="AS22" s="13"/>
      <c r="AT22" s="27">
        <v>0</v>
      </c>
      <c r="AU22" s="40">
        <v>0</v>
      </c>
      <c r="AV22" s="40">
        <v>0</v>
      </c>
      <c r="AW22" s="27">
        <v>0</v>
      </c>
      <c r="AX22" s="40">
        <v>0</v>
      </c>
      <c r="AY22" s="27">
        <v>0</v>
      </c>
      <c r="AZ22" s="27">
        <v>0</v>
      </c>
      <c r="BA22" s="4"/>
      <c r="BB22" s="52">
        <v>1076</v>
      </c>
      <c r="BC22" s="52">
        <v>1123</v>
      </c>
      <c r="BD22" s="52">
        <v>1422</v>
      </c>
      <c r="BE22" s="41">
        <f t="shared" si="11"/>
        <v>47</v>
      </c>
      <c r="BF22" s="41">
        <f t="shared" si="12"/>
        <v>8699.5324886104772</v>
      </c>
      <c r="BG22" s="60">
        <f t="shared" si="13"/>
        <v>59.25</v>
      </c>
      <c r="BH22" s="43">
        <v>2.093</v>
      </c>
      <c r="BI22" s="44">
        <v>2.093</v>
      </c>
      <c r="BJ22" s="45">
        <v>27.2</v>
      </c>
      <c r="BK22" s="47">
        <v>28.13</v>
      </c>
      <c r="BL22" s="47">
        <v>23.03</v>
      </c>
      <c r="BM22" s="47">
        <v>28.69</v>
      </c>
      <c r="BN22" s="47">
        <v>989.63</v>
      </c>
      <c r="BO22" s="45">
        <v>50.11</v>
      </c>
      <c r="BP22" s="48">
        <v>0.93769999999999998</v>
      </c>
      <c r="BQ22" s="42">
        <v>95.53</v>
      </c>
      <c r="BR22" s="42">
        <v>86.28</v>
      </c>
      <c r="BS22" s="49">
        <f t="shared" si="14"/>
        <v>-9.25</v>
      </c>
      <c r="BT22" s="41">
        <v>12286</v>
      </c>
      <c r="BU22" s="41">
        <v>11789</v>
      </c>
      <c r="BV22" s="51">
        <f t="shared" si="15"/>
        <v>-497</v>
      </c>
      <c r="BW22" s="41">
        <f t="shared" si="16"/>
        <v>4.1859999999999999</v>
      </c>
      <c r="BX22" s="42">
        <v>24</v>
      </c>
      <c r="BY22" s="42">
        <v>24</v>
      </c>
      <c r="CA22" s="42">
        <v>24</v>
      </c>
      <c r="CB22" s="42">
        <v>6.58</v>
      </c>
      <c r="CD22" s="42">
        <v>2.2000000000000002</v>
      </c>
      <c r="CE22" s="42">
        <v>3.65</v>
      </c>
      <c r="CF22" s="42">
        <v>1.8</v>
      </c>
      <c r="CG22" s="42">
        <v>1.7</v>
      </c>
    </row>
    <row r="23" spans="1:85">
      <c r="A23" s="452"/>
      <c r="B23" s="24">
        <v>43175</v>
      </c>
      <c r="C23" s="25">
        <v>75</v>
      </c>
      <c r="D23" s="26">
        <v>0.52170000000000005</v>
      </c>
      <c r="E23" s="38">
        <v>58.5</v>
      </c>
      <c r="F23" s="28">
        <v>88</v>
      </c>
      <c r="G23" s="28">
        <v>63</v>
      </c>
      <c r="H23" s="28">
        <v>24</v>
      </c>
      <c r="I23" s="28">
        <v>0</v>
      </c>
      <c r="J23" s="28">
        <v>24</v>
      </c>
      <c r="K23" s="28">
        <v>0</v>
      </c>
      <c r="L23" s="28">
        <v>0</v>
      </c>
      <c r="M23" s="28">
        <v>0</v>
      </c>
      <c r="N23" s="28">
        <v>0</v>
      </c>
      <c r="O23" s="28">
        <v>0</v>
      </c>
      <c r="P23" s="28">
        <v>24</v>
      </c>
      <c r="Q23" s="27">
        <v>0</v>
      </c>
      <c r="R23" s="252">
        <v>3637</v>
      </c>
      <c r="S23" s="253">
        <v>3578</v>
      </c>
      <c r="T23" s="28">
        <v>3578</v>
      </c>
      <c r="U23" s="28">
        <v>3501</v>
      </c>
      <c r="V23" s="28">
        <v>3611</v>
      </c>
      <c r="W23" s="28">
        <v>45</v>
      </c>
      <c r="X23" s="28">
        <v>0</v>
      </c>
      <c r="Y23" s="28">
        <v>47</v>
      </c>
      <c r="Z23" s="28">
        <v>0</v>
      </c>
      <c r="AA23" s="28">
        <v>59</v>
      </c>
      <c r="AB23" s="28">
        <v>0</v>
      </c>
      <c r="AC23" s="32">
        <f t="shared" si="0"/>
        <v>110</v>
      </c>
      <c r="AD23" s="33">
        <f t="shared" si="1"/>
        <v>-77</v>
      </c>
      <c r="AE23" s="28">
        <v>153</v>
      </c>
      <c r="AF23" s="34">
        <f t="shared" si="2"/>
        <v>0.98338779956427014</v>
      </c>
      <c r="AG23" s="35">
        <f t="shared" si="3"/>
        <v>151.54166666666666</v>
      </c>
      <c r="AH23" s="34">
        <f t="shared" si="4"/>
        <v>0.96260654385482536</v>
      </c>
      <c r="AI23" s="226">
        <f t="shared" si="17"/>
        <v>1</v>
      </c>
      <c r="AJ23" s="37">
        <f t="shared" si="6"/>
        <v>1</v>
      </c>
      <c r="AK23" s="236">
        <v>9.6489999999999991</v>
      </c>
      <c r="AL23" s="240">
        <v>135.79</v>
      </c>
      <c r="AM23" s="38">
        <f t="shared" si="7"/>
        <v>1310.2377099999999</v>
      </c>
      <c r="AN23" s="236">
        <v>30.242349999999998</v>
      </c>
      <c r="AO23" s="317">
        <v>964.07355909841658</v>
      </c>
      <c r="AP23" s="39">
        <f t="shared" si="8"/>
        <v>29155.85</v>
      </c>
      <c r="AQ23" s="201">
        <f t="shared" si="9"/>
        <v>8702.1101713796052</v>
      </c>
      <c r="AR23" s="198">
        <f t="shared" si="10"/>
        <v>149.08333333333334</v>
      </c>
      <c r="AS23" s="13"/>
      <c r="AT23" s="28">
        <v>0</v>
      </c>
      <c r="AU23" s="40">
        <v>0</v>
      </c>
      <c r="AV23" s="40">
        <v>0</v>
      </c>
      <c r="AW23" s="27">
        <v>0</v>
      </c>
      <c r="AX23" s="28">
        <v>0</v>
      </c>
      <c r="AY23" s="28">
        <v>0</v>
      </c>
      <c r="AZ23" s="28">
        <v>0</v>
      </c>
      <c r="BA23" s="4"/>
      <c r="BB23" s="52">
        <v>1077</v>
      </c>
      <c r="BC23" s="52">
        <v>1122</v>
      </c>
      <c r="BD23" s="52">
        <v>1412</v>
      </c>
      <c r="BE23" s="41">
        <f t="shared" si="11"/>
        <v>45</v>
      </c>
      <c r="BF23" s="41">
        <f t="shared" si="12"/>
        <v>8702.1101713796052</v>
      </c>
      <c r="BG23" s="60">
        <f t="shared" si="13"/>
        <v>58.833333333333336</v>
      </c>
      <c r="BH23" s="71">
        <v>2.0249999999999999</v>
      </c>
      <c r="BI23" s="71">
        <v>2.0249999999999999</v>
      </c>
      <c r="BJ23" s="72">
        <v>27.2</v>
      </c>
      <c r="BK23" s="72">
        <v>28.22</v>
      </c>
      <c r="BL23" s="72">
        <v>23.09</v>
      </c>
      <c r="BM23" s="72">
        <v>28.38</v>
      </c>
      <c r="BN23" s="73">
        <v>990.71</v>
      </c>
      <c r="BO23" s="73">
        <v>50.05</v>
      </c>
      <c r="BP23" s="74">
        <v>0.93740000000000001</v>
      </c>
      <c r="BQ23" s="54">
        <v>95.51</v>
      </c>
      <c r="BR23" s="54">
        <v>86.31</v>
      </c>
      <c r="BS23" s="49">
        <f t="shared" si="14"/>
        <v>-9.2000000000000028</v>
      </c>
      <c r="BT23" s="55">
        <v>12313</v>
      </c>
      <c r="BU23" s="55">
        <v>11811</v>
      </c>
      <c r="BV23" s="51">
        <f t="shared" si="15"/>
        <v>-502</v>
      </c>
      <c r="BW23" s="41">
        <f t="shared" si="16"/>
        <v>4.05</v>
      </c>
      <c r="BX23" s="73">
        <v>24</v>
      </c>
      <c r="BY23" s="73">
        <v>24</v>
      </c>
      <c r="CA23" s="73">
        <v>24</v>
      </c>
      <c r="CB23" s="73">
        <v>8.42</v>
      </c>
      <c r="CD23" s="73">
        <v>2.2000000000000002</v>
      </c>
      <c r="CE23" s="73">
        <v>3.6</v>
      </c>
      <c r="CF23" s="73">
        <v>1.8</v>
      </c>
      <c r="CG23" s="73">
        <v>1.6</v>
      </c>
    </row>
    <row r="24" spans="1:85">
      <c r="A24" s="452"/>
      <c r="B24" s="24">
        <v>43176</v>
      </c>
      <c r="C24" s="25">
        <v>75.89</v>
      </c>
      <c r="D24" s="26">
        <v>0.54669999999999996</v>
      </c>
      <c r="E24" s="38">
        <v>60.38</v>
      </c>
      <c r="F24" s="75">
        <v>90</v>
      </c>
      <c r="G24" s="75">
        <v>64</v>
      </c>
      <c r="H24" s="27">
        <v>24</v>
      </c>
      <c r="I24" s="27">
        <v>0</v>
      </c>
      <c r="J24" s="27">
        <v>24</v>
      </c>
      <c r="K24" s="27">
        <v>0</v>
      </c>
      <c r="L24" s="29">
        <v>0</v>
      </c>
      <c r="M24" s="29">
        <v>0</v>
      </c>
      <c r="N24" s="29">
        <v>0</v>
      </c>
      <c r="O24" s="29">
        <v>0</v>
      </c>
      <c r="P24" s="29">
        <v>23</v>
      </c>
      <c r="Q24" s="27">
        <v>31</v>
      </c>
      <c r="R24" s="252">
        <v>3633</v>
      </c>
      <c r="S24" s="253">
        <v>3572</v>
      </c>
      <c r="T24" s="75">
        <v>3564</v>
      </c>
      <c r="U24" s="75">
        <v>3488</v>
      </c>
      <c r="V24" s="27">
        <v>3597</v>
      </c>
      <c r="W24" s="27">
        <v>45</v>
      </c>
      <c r="X24" s="27">
        <v>0</v>
      </c>
      <c r="Y24" s="27">
        <v>47</v>
      </c>
      <c r="Z24" s="29">
        <v>0</v>
      </c>
      <c r="AA24" s="29">
        <v>59</v>
      </c>
      <c r="AB24" s="29">
        <v>0</v>
      </c>
      <c r="AC24" s="32">
        <f t="shared" si="0"/>
        <v>109</v>
      </c>
      <c r="AD24" s="33">
        <f t="shared" si="1"/>
        <v>-76</v>
      </c>
      <c r="AE24" s="28">
        <v>154</v>
      </c>
      <c r="AF24" s="34">
        <f t="shared" si="2"/>
        <v>0.9732142857142857</v>
      </c>
      <c r="AG24" s="35">
        <f t="shared" si="3"/>
        <v>151.375</v>
      </c>
      <c r="AH24" s="34">
        <f t="shared" si="4"/>
        <v>0.96008808147536473</v>
      </c>
      <c r="AI24" s="226">
        <f t="shared" si="17"/>
        <v>1</v>
      </c>
      <c r="AJ24" s="37">
        <f t="shared" si="6"/>
        <v>0.99853292862398824</v>
      </c>
      <c r="AK24" s="235">
        <v>9.68</v>
      </c>
      <c r="AL24" s="239">
        <v>138.41</v>
      </c>
      <c r="AM24" s="38">
        <f t="shared" si="7"/>
        <v>1339.8088</v>
      </c>
      <c r="AN24" s="235">
        <v>29.8629</v>
      </c>
      <c r="AO24" s="317">
        <v>974.90093058611183</v>
      </c>
      <c r="AP24" s="39">
        <f t="shared" si="8"/>
        <v>29113.368999999999</v>
      </c>
      <c r="AQ24" s="201">
        <f t="shared" si="9"/>
        <v>8730.842259174311</v>
      </c>
      <c r="AR24" s="198">
        <f t="shared" si="10"/>
        <v>148.83333333333334</v>
      </c>
      <c r="AS24" s="13"/>
      <c r="AT24" s="27">
        <v>0</v>
      </c>
      <c r="AU24" s="40">
        <v>0</v>
      </c>
      <c r="AV24" s="40">
        <v>0</v>
      </c>
      <c r="AW24" s="27">
        <v>0</v>
      </c>
      <c r="AX24" s="40">
        <v>11</v>
      </c>
      <c r="AY24" s="27">
        <v>29</v>
      </c>
      <c r="AZ24" s="27">
        <v>0</v>
      </c>
      <c r="BA24" s="4"/>
      <c r="BB24" s="52">
        <v>1070</v>
      </c>
      <c r="BC24" s="52">
        <v>1116</v>
      </c>
      <c r="BD24" s="52">
        <v>1411</v>
      </c>
      <c r="BE24" s="41">
        <f t="shared" si="11"/>
        <v>46</v>
      </c>
      <c r="BF24" s="41">
        <f t="shared" si="12"/>
        <v>8730.842259174311</v>
      </c>
      <c r="BG24" s="60">
        <f t="shared" si="13"/>
        <v>58.791666666666664</v>
      </c>
      <c r="BH24" s="43">
        <v>2.0720000000000001</v>
      </c>
      <c r="BI24" s="44">
        <v>2.0720000000000001</v>
      </c>
      <c r="BJ24" s="45">
        <v>27.2</v>
      </c>
      <c r="BK24" s="47">
        <v>27.78</v>
      </c>
      <c r="BL24" s="47">
        <v>22.71</v>
      </c>
      <c r="BM24" s="47">
        <v>28.52</v>
      </c>
      <c r="BN24" s="47">
        <v>991.8</v>
      </c>
      <c r="BO24" s="45">
        <v>50.06</v>
      </c>
      <c r="BP24" s="48">
        <v>0.9365</v>
      </c>
      <c r="BQ24" s="54">
        <v>95.61</v>
      </c>
      <c r="BR24" s="54">
        <v>86.37</v>
      </c>
      <c r="BS24" s="49">
        <f t="shared" si="14"/>
        <v>-9.2399999999999949</v>
      </c>
      <c r="BT24" s="55">
        <v>12203</v>
      </c>
      <c r="BU24" s="55">
        <v>11728</v>
      </c>
      <c r="BV24" s="51">
        <f t="shared" si="15"/>
        <v>-475</v>
      </c>
      <c r="BW24" s="41">
        <f t="shared" si="16"/>
        <v>4.1440000000000001</v>
      </c>
      <c r="BX24" s="42">
        <v>24</v>
      </c>
      <c r="BY24" s="42">
        <v>24</v>
      </c>
      <c r="CA24" s="42">
        <v>24</v>
      </c>
      <c r="CB24" s="42">
        <v>8.4</v>
      </c>
      <c r="CD24" s="42">
        <v>2.1</v>
      </c>
      <c r="CE24" s="42">
        <v>3.6</v>
      </c>
      <c r="CF24" s="42">
        <v>1.8</v>
      </c>
      <c r="CG24" s="42">
        <v>1.6</v>
      </c>
    </row>
    <row r="25" spans="1:85">
      <c r="A25" s="453"/>
      <c r="B25" s="24">
        <v>43177</v>
      </c>
      <c r="C25" s="25">
        <v>74.98</v>
      </c>
      <c r="D25" s="26">
        <v>0.55930000000000002</v>
      </c>
      <c r="E25" s="38">
        <v>59.98</v>
      </c>
      <c r="F25" s="28">
        <v>87</v>
      </c>
      <c r="G25" s="28">
        <v>65</v>
      </c>
      <c r="H25" s="27">
        <v>24</v>
      </c>
      <c r="I25" s="27">
        <v>0</v>
      </c>
      <c r="J25" s="27">
        <v>24</v>
      </c>
      <c r="K25" s="27">
        <v>0</v>
      </c>
      <c r="L25" s="29">
        <v>0</v>
      </c>
      <c r="M25" s="29">
        <v>0</v>
      </c>
      <c r="N25" s="29">
        <v>0</v>
      </c>
      <c r="O25" s="29">
        <v>0</v>
      </c>
      <c r="P25" s="29">
        <v>0</v>
      </c>
      <c r="Q25" s="25">
        <v>0</v>
      </c>
      <c r="R25" s="251">
        <v>3645</v>
      </c>
      <c r="S25" s="253">
        <v>3210</v>
      </c>
      <c r="T25" s="28">
        <v>3210</v>
      </c>
      <c r="U25" s="28">
        <v>3137</v>
      </c>
      <c r="V25" s="27">
        <v>3230</v>
      </c>
      <c r="W25" s="27">
        <v>45</v>
      </c>
      <c r="X25" s="27">
        <v>0</v>
      </c>
      <c r="Y25" s="27">
        <v>46</v>
      </c>
      <c r="Z25" s="29">
        <v>0</v>
      </c>
      <c r="AA25" s="29">
        <v>59</v>
      </c>
      <c r="AB25" s="29">
        <v>0</v>
      </c>
      <c r="AC25" s="32">
        <f t="shared" si="0"/>
        <v>93</v>
      </c>
      <c r="AD25" s="33">
        <f t="shared" si="1"/>
        <v>-73</v>
      </c>
      <c r="AE25" s="28">
        <v>138</v>
      </c>
      <c r="AF25" s="34">
        <f t="shared" si="2"/>
        <v>0.97524154589371981</v>
      </c>
      <c r="AG25" s="35">
        <f t="shared" si="3"/>
        <v>151.875</v>
      </c>
      <c r="AH25" s="34">
        <f t="shared" si="4"/>
        <v>0.86063100137174209</v>
      </c>
      <c r="AI25" s="226">
        <f t="shared" si="17"/>
        <v>1</v>
      </c>
      <c r="AJ25" s="37">
        <f t="shared" si="6"/>
        <v>0.89333333333333342</v>
      </c>
      <c r="AK25" s="235">
        <v>9.7249999999999996</v>
      </c>
      <c r="AL25" s="239">
        <v>135.02000000000001</v>
      </c>
      <c r="AM25" s="38">
        <f t="shared" si="7"/>
        <v>1313.0695000000001</v>
      </c>
      <c r="AN25" s="235">
        <v>25.930880999999999</v>
      </c>
      <c r="AO25" s="317">
        <v>968.45918964342172</v>
      </c>
      <c r="AP25" s="39">
        <f t="shared" si="8"/>
        <v>25113</v>
      </c>
      <c r="AQ25" s="201">
        <f t="shared" si="9"/>
        <v>8423.99410264584</v>
      </c>
      <c r="AR25" s="198">
        <f t="shared" si="10"/>
        <v>133.75</v>
      </c>
      <c r="AS25" s="13"/>
      <c r="AT25" s="27">
        <v>0</v>
      </c>
      <c r="AU25" s="40">
        <v>0</v>
      </c>
      <c r="AV25" s="40">
        <v>0</v>
      </c>
      <c r="AW25" s="27">
        <v>0</v>
      </c>
      <c r="AX25" s="40">
        <v>16</v>
      </c>
      <c r="AY25" s="27">
        <v>1440</v>
      </c>
      <c r="AZ25" s="27">
        <v>0</v>
      </c>
      <c r="BA25" s="4"/>
      <c r="BB25" s="52">
        <v>1072</v>
      </c>
      <c r="BC25" s="52">
        <v>1115</v>
      </c>
      <c r="BD25" s="52">
        <v>1043</v>
      </c>
      <c r="BE25" s="41">
        <f t="shared" si="11"/>
        <v>43</v>
      </c>
      <c r="BF25" s="41">
        <f t="shared" si="12"/>
        <v>8423.99410264584</v>
      </c>
      <c r="BG25" s="60">
        <f t="shared" si="13"/>
        <v>43.458333333333336</v>
      </c>
      <c r="BH25" s="43">
        <v>0</v>
      </c>
      <c r="BI25" s="44">
        <v>0</v>
      </c>
      <c r="BJ25" s="45">
        <v>27.2</v>
      </c>
      <c r="BK25" s="47">
        <v>28</v>
      </c>
      <c r="BL25" s="47">
        <v>22.88</v>
      </c>
      <c r="BM25" s="47">
        <v>28.43</v>
      </c>
      <c r="BN25" s="47">
        <v>992.5</v>
      </c>
      <c r="BO25" s="45">
        <v>50.08</v>
      </c>
      <c r="BP25" s="48">
        <v>0.93740000000000001</v>
      </c>
      <c r="BQ25" s="54">
        <v>95.61</v>
      </c>
      <c r="BR25" s="54">
        <v>86.38</v>
      </c>
      <c r="BS25" s="49">
        <f t="shared" si="14"/>
        <v>-9.230000000000004</v>
      </c>
      <c r="BT25" s="55">
        <v>12273</v>
      </c>
      <c r="BU25" s="55">
        <v>11788</v>
      </c>
      <c r="BV25" s="51">
        <f t="shared" si="15"/>
        <v>-485</v>
      </c>
      <c r="BW25" s="41">
        <f t="shared" si="16"/>
        <v>0</v>
      </c>
      <c r="BX25" s="42">
        <v>0</v>
      </c>
      <c r="BY25" s="42">
        <v>0</v>
      </c>
      <c r="CA25" s="42">
        <v>24</v>
      </c>
      <c r="CB25" s="42">
        <v>8.26</v>
      </c>
      <c r="CD25" s="42">
        <v>2.1</v>
      </c>
      <c r="CE25" s="42">
        <v>3.7</v>
      </c>
      <c r="CF25" s="42">
        <v>1.7</v>
      </c>
      <c r="CG25" s="42">
        <v>1.6</v>
      </c>
    </row>
    <row r="26" spans="1:85" ht="15" customHeight="1">
      <c r="A26" s="451" t="s">
        <v>164</v>
      </c>
      <c r="B26" s="24">
        <v>43178</v>
      </c>
      <c r="C26" s="157">
        <v>75</v>
      </c>
      <c r="D26" s="197">
        <v>0.56000000000000005</v>
      </c>
      <c r="E26" s="171">
        <v>61</v>
      </c>
      <c r="F26" s="160">
        <v>85</v>
      </c>
      <c r="G26" s="160">
        <v>66</v>
      </c>
      <c r="H26" s="160">
        <v>24</v>
      </c>
      <c r="I26" s="160">
        <v>0</v>
      </c>
      <c r="J26" s="160">
        <v>24</v>
      </c>
      <c r="K26" s="160">
        <v>0</v>
      </c>
      <c r="L26" s="188">
        <v>0</v>
      </c>
      <c r="M26" s="188">
        <v>0</v>
      </c>
      <c r="N26" s="188">
        <v>0</v>
      </c>
      <c r="O26" s="188">
        <v>0</v>
      </c>
      <c r="P26" s="188">
        <v>12</v>
      </c>
      <c r="Q26" s="157">
        <v>42</v>
      </c>
      <c r="R26" s="257">
        <v>3643</v>
      </c>
      <c r="S26" s="159">
        <v>3388</v>
      </c>
      <c r="T26" s="160">
        <v>3388</v>
      </c>
      <c r="U26" s="160">
        <v>3322</v>
      </c>
      <c r="V26" s="160">
        <v>3424</v>
      </c>
      <c r="W26" s="160">
        <v>44</v>
      </c>
      <c r="X26" s="160">
        <v>0</v>
      </c>
      <c r="Y26" s="160">
        <v>46</v>
      </c>
      <c r="Z26" s="188">
        <v>0</v>
      </c>
      <c r="AA26" s="188">
        <v>59</v>
      </c>
      <c r="AB26" s="188">
        <v>0</v>
      </c>
      <c r="AC26" s="165">
        <f t="shared" si="0"/>
        <v>102</v>
      </c>
      <c r="AD26" s="166">
        <f t="shared" si="1"/>
        <v>-66</v>
      </c>
      <c r="AE26" s="160">
        <v>151</v>
      </c>
      <c r="AF26" s="167">
        <f t="shared" si="2"/>
        <v>0.94481236203090513</v>
      </c>
      <c r="AG26" s="168">
        <f t="shared" si="3"/>
        <v>151.79166666666666</v>
      </c>
      <c r="AH26" s="167">
        <f t="shared" si="4"/>
        <v>0.91188580839967059</v>
      </c>
      <c r="AI26" s="169">
        <f t="shared" si="17"/>
        <v>1</v>
      </c>
      <c r="AJ26" s="170">
        <f t="shared" si="6"/>
        <v>0.9526006711409396</v>
      </c>
      <c r="AK26" s="235">
        <v>9.64</v>
      </c>
      <c r="AL26" s="239">
        <v>135.04</v>
      </c>
      <c r="AM26" s="275">
        <f t="shared" si="7"/>
        <v>1301.7855999999999</v>
      </c>
      <c r="AN26" s="235">
        <v>28.173449000000002</v>
      </c>
      <c r="AO26" s="317">
        <v>972.50819379622271</v>
      </c>
      <c r="AP26" s="172">
        <f t="shared" si="8"/>
        <v>27398.91</v>
      </c>
      <c r="AQ26" s="202">
        <f t="shared" si="9"/>
        <v>8639.5832630945206</v>
      </c>
      <c r="AR26" s="199">
        <f t="shared" si="10"/>
        <v>141.16666666666666</v>
      </c>
      <c r="AS26" s="13"/>
      <c r="AT26" s="159">
        <v>0</v>
      </c>
      <c r="AU26" s="174">
        <v>0</v>
      </c>
      <c r="AV26" s="174">
        <v>0</v>
      </c>
      <c r="AW26" s="159">
        <v>0</v>
      </c>
      <c r="AX26" s="174">
        <v>15</v>
      </c>
      <c r="AY26" s="159">
        <v>678</v>
      </c>
      <c r="AZ26" s="159">
        <v>0</v>
      </c>
      <c r="BA26" s="4"/>
      <c r="BB26" s="175">
        <v>1068</v>
      </c>
      <c r="BC26" s="175">
        <v>1111</v>
      </c>
      <c r="BD26" s="175">
        <v>1245</v>
      </c>
      <c r="BE26" s="175">
        <f t="shared" si="11"/>
        <v>43</v>
      </c>
      <c r="BF26" s="175">
        <f t="shared" si="12"/>
        <v>8639.5832630945206</v>
      </c>
      <c r="BG26" s="177">
        <f t="shared" si="13"/>
        <v>51.875</v>
      </c>
      <c r="BH26" s="191">
        <v>1.1579999999999999</v>
      </c>
      <c r="BI26" s="155">
        <v>1.1579999999999999</v>
      </c>
      <c r="BJ26" s="181">
        <v>27.2</v>
      </c>
      <c r="BK26" s="192">
        <v>27.89</v>
      </c>
      <c r="BL26" s="192">
        <v>22.74</v>
      </c>
      <c r="BM26" s="192">
        <v>28.54</v>
      </c>
      <c r="BN26" s="192">
        <v>993.8</v>
      </c>
      <c r="BO26" s="192">
        <v>50.08</v>
      </c>
      <c r="BP26" s="193">
        <v>0.93740000000000001</v>
      </c>
      <c r="BQ26" s="194">
        <v>95.63</v>
      </c>
      <c r="BR26" s="194">
        <v>86.41</v>
      </c>
      <c r="BS26" s="49">
        <f t="shared" si="14"/>
        <v>-9.2199999999999989</v>
      </c>
      <c r="BT26" s="194">
        <v>12267</v>
      </c>
      <c r="BU26" s="194">
        <v>11784</v>
      </c>
      <c r="BV26" s="51">
        <f t="shared" si="15"/>
        <v>-483</v>
      </c>
      <c r="BW26" s="175">
        <f t="shared" si="16"/>
        <v>2.3159999999999998</v>
      </c>
      <c r="BX26" s="177">
        <v>13</v>
      </c>
      <c r="BY26" s="177">
        <v>12.7</v>
      </c>
      <c r="CA26" s="177">
        <v>24</v>
      </c>
      <c r="CB26" s="177">
        <v>6.3</v>
      </c>
      <c r="CD26" s="177">
        <v>2.2000000000000002</v>
      </c>
      <c r="CE26" s="177">
        <v>3.6</v>
      </c>
      <c r="CF26" s="177">
        <v>1.8</v>
      </c>
      <c r="CG26" s="177">
        <v>1.8</v>
      </c>
    </row>
    <row r="27" spans="1:85">
      <c r="A27" s="452"/>
      <c r="B27" s="24">
        <v>43179</v>
      </c>
      <c r="C27" s="157">
        <v>75</v>
      </c>
      <c r="D27" s="197">
        <v>0.60899999999999999</v>
      </c>
      <c r="E27" s="171">
        <v>62.5</v>
      </c>
      <c r="F27" s="160">
        <v>87</v>
      </c>
      <c r="G27" s="160">
        <v>65</v>
      </c>
      <c r="H27" s="160">
        <v>24</v>
      </c>
      <c r="I27" s="160">
        <v>0</v>
      </c>
      <c r="J27" s="160">
        <v>24</v>
      </c>
      <c r="K27" s="160">
        <v>0</v>
      </c>
      <c r="L27" s="188">
        <v>0</v>
      </c>
      <c r="M27" s="188">
        <v>0</v>
      </c>
      <c r="N27" s="188">
        <v>0</v>
      </c>
      <c r="O27" s="188">
        <v>0</v>
      </c>
      <c r="P27" s="188">
        <v>24</v>
      </c>
      <c r="Q27" s="157">
        <v>0</v>
      </c>
      <c r="R27" s="257">
        <v>3647</v>
      </c>
      <c r="S27" s="159">
        <v>3557</v>
      </c>
      <c r="T27" s="160">
        <v>3557</v>
      </c>
      <c r="U27" s="160">
        <v>3478</v>
      </c>
      <c r="V27" s="160">
        <v>3588</v>
      </c>
      <c r="W27" s="160">
        <v>44</v>
      </c>
      <c r="X27" s="160">
        <v>0</v>
      </c>
      <c r="Y27" s="160">
        <v>46</v>
      </c>
      <c r="Z27" s="188">
        <v>0</v>
      </c>
      <c r="AA27" s="188">
        <v>59</v>
      </c>
      <c r="AB27" s="188">
        <v>0</v>
      </c>
      <c r="AC27" s="165">
        <f t="shared" si="0"/>
        <v>110</v>
      </c>
      <c r="AD27" s="166">
        <f t="shared" si="1"/>
        <v>-79</v>
      </c>
      <c r="AE27" s="160">
        <v>153</v>
      </c>
      <c r="AF27" s="167">
        <f t="shared" si="2"/>
        <v>0.97712418300653592</v>
      </c>
      <c r="AG27" s="168">
        <f t="shared" si="3"/>
        <v>151.95833333333334</v>
      </c>
      <c r="AH27" s="167">
        <f t="shared" si="4"/>
        <v>0.95366054291198243</v>
      </c>
      <c r="AI27" s="169">
        <f t="shared" si="17"/>
        <v>1</v>
      </c>
      <c r="AJ27" s="170">
        <f t="shared" si="6"/>
        <v>1</v>
      </c>
      <c r="AK27" s="235">
        <v>9.6349999999999998</v>
      </c>
      <c r="AL27" s="239">
        <v>134.24</v>
      </c>
      <c r="AM27" s="275">
        <f t="shared" si="7"/>
        <v>1293.4024000000002</v>
      </c>
      <c r="AN27" s="235">
        <v>30.250869000000002</v>
      </c>
      <c r="AO27" s="318">
        <v>962.6034214091502</v>
      </c>
      <c r="AP27" s="172">
        <f t="shared" si="8"/>
        <v>29119.59</v>
      </c>
      <c r="AQ27" s="202">
        <f t="shared" si="9"/>
        <v>8744.3911443358247</v>
      </c>
      <c r="AR27" s="199">
        <f t="shared" si="10"/>
        <v>148.20833333333334</v>
      </c>
      <c r="AS27" s="13"/>
      <c r="AT27" s="159">
        <v>0</v>
      </c>
      <c r="AU27" s="174">
        <v>0</v>
      </c>
      <c r="AV27" s="159">
        <v>0</v>
      </c>
      <c r="AW27" s="159">
        <v>0</v>
      </c>
      <c r="AX27" s="174">
        <v>0</v>
      </c>
      <c r="AY27" s="159">
        <v>0</v>
      </c>
      <c r="AZ27" s="159">
        <v>0</v>
      </c>
      <c r="BA27" s="4"/>
      <c r="BB27" s="175">
        <v>1063</v>
      </c>
      <c r="BC27" s="175">
        <v>1105</v>
      </c>
      <c r="BD27" s="175">
        <v>1420</v>
      </c>
      <c r="BE27" s="175">
        <f t="shared" si="11"/>
        <v>42</v>
      </c>
      <c r="BF27" s="175">
        <f t="shared" si="12"/>
        <v>8744.3911443358247</v>
      </c>
      <c r="BG27" s="177">
        <f t="shared" si="13"/>
        <v>59.166666666666664</v>
      </c>
      <c r="BH27" s="191">
        <v>2.1219999999999999</v>
      </c>
      <c r="BI27" s="155">
        <v>2.1219999999999999</v>
      </c>
      <c r="BJ27" s="181">
        <v>27.2</v>
      </c>
      <c r="BK27" s="192">
        <v>27.98</v>
      </c>
      <c r="BL27" s="192">
        <v>22.88</v>
      </c>
      <c r="BM27" s="192">
        <v>28.31</v>
      </c>
      <c r="BN27" s="195">
        <v>991.1</v>
      </c>
      <c r="BO27" s="192">
        <v>50.09</v>
      </c>
      <c r="BP27" s="193">
        <v>0.93769999999999998</v>
      </c>
      <c r="BQ27" s="194">
        <v>95.8</v>
      </c>
      <c r="BR27" s="194">
        <v>86.5</v>
      </c>
      <c r="BS27" s="49">
        <f t="shared" si="14"/>
        <v>-9.2999999999999972</v>
      </c>
      <c r="BT27" s="194">
        <v>12376</v>
      </c>
      <c r="BU27" s="194">
        <v>11898</v>
      </c>
      <c r="BV27" s="51">
        <f t="shared" si="15"/>
        <v>-478</v>
      </c>
      <c r="BW27" s="175">
        <f t="shared" si="16"/>
        <v>4.2439999999999998</v>
      </c>
      <c r="BX27" s="177">
        <v>24</v>
      </c>
      <c r="BY27" s="177">
        <v>24</v>
      </c>
      <c r="CA27" s="177">
        <v>24</v>
      </c>
      <c r="CB27" s="177">
        <v>6.1</v>
      </c>
      <c r="CD27" s="177">
        <v>2.2000000000000002</v>
      </c>
      <c r="CE27" s="177">
        <v>3.5</v>
      </c>
      <c r="CF27" s="177">
        <v>1.8</v>
      </c>
      <c r="CG27" s="177">
        <v>1.6</v>
      </c>
    </row>
    <row r="28" spans="1:85">
      <c r="A28" s="452"/>
      <c r="B28" s="24">
        <v>43180</v>
      </c>
      <c r="C28" s="157">
        <v>70</v>
      </c>
      <c r="D28" s="197">
        <v>0.67</v>
      </c>
      <c r="E28" s="171">
        <v>60</v>
      </c>
      <c r="F28" s="160">
        <v>79</v>
      </c>
      <c r="G28" s="160">
        <v>61</v>
      </c>
      <c r="H28" s="160">
        <v>24</v>
      </c>
      <c r="I28" s="160">
        <v>0</v>
      </c>
      <c r="J28" s="160">
        <v>24</v>
      </c>
      <c r="K28" s="160">
        <v>0</v>
      </c>
      <c r="L28" s="188">
        <v>0</v>
      </c>
      <c r="M28" s="188">
        <v>0</v>
      </c>
      <c r="N28" s="188">
        <v>0</v>
      </c>
      <c r="O28" s="188">
        <v>0</v>
      </c>
      <c r="P28" s="188">
        <v>24</v>
      </c>
      <c r="Q28" s="157">
        <v>0</v>
      </c>
      <c r="R28" s="257">
        <v>3680</v>
      </c>
      <c r="S28" s="159">
        <v>3592</v>
      </c>
      <c r="T28" s="160">
        <v>3592</v>
      </c>
      <c r="U28" s="160">
        <v>3519</v>
      </c>
      <c r="V28" s="160">
        <v>3625</v>
      </c>
      <c r="W28" s="160">
        <v>44</v>
      </c>
      <c r="X28" s="160">
        <v>0</v>
      </c>
      <c r="Y28" s="160">
        <v>46</v>
      </c>
      <c r="Z28" s="258">
        <v>0</v>
      </c>
      <c r="AA28" s="188">
        <v>60</v>
      </c>
      <c r="AB28" s="188">
        <v>0</v>
      </c>
      <c r="AC28" s="165">
        <f t="shared" si="0"/>
        <v>106</v>
      </c>
      <c r="AD28" s="166">
        <f>U28-T28</f>
        <v>-73</v>
      </c>
      <c r="AE28" s="160">
        <v>154</v>
      </c>
      <c r="AF28" s="167">
        <f t="shared" si="2"/>
        <v>0.98079004329004327</v>
      </c>
      <c r="AG28" s="168">
        <f t="shared" si="3"/>
        <v>153.33333333333334</v>
      </c>
      <c r="AH28" s="167">
        <f t="shared" si="4"/>
        <v>0.95625000000000004</v>
      </c>
      <c r="AI28" s="169">
        <f t="shared" si="17"/>
        <v>1</v>
      </c>
      <c r="AJ28" s="170">
        <f t="shared" si="6"/>
        <v>1</v>
      </c>
      <c r="AK28" s="235">
        <v>9.6</v>
      </c>
      <c r="AL28" s="239">
        <v>135.94999999999999</v>
      </c>
      <c r="AM28" s="275">
        <f t="shared" si="7"/>
        <v>1305.1199999999999</v>
      </c>
      <c r="AN28" s="235">
        <v>30.358720999999999</v>
      </c>
      <c r="AO28" s="318">
        <v>969.57480521000866</v>
      </c>
      <c r="AP28" s="172">
        <f t="shared" si="8"/>
        <v>29435.050999999999</v>
      </c>
      <c r="AQ28" s="202">
        <f t="shared" si="9"/>
        <v>8735.4847968172762</v>
      </c>
      <c r="AR28" s="199">
        <f t="shared" si="10"/>
        <v>149.66666666666666</v>
      </c>
      <c r="AS28" s="13"/>
      <c r="AT28" s="159">
        <v>0</v>
      </c>
      <c r="AU28" s="174">
        <v>0</v>
      </c>
      <c r="AV28" s="174">
        <v>0</v>
      </c>
      <c r="AW28" s="159">
        <v>0</v>
      </c>
      <c r="AX28" s="174">
        <v>0</v>
      </c>
      <c r="AY28" s="159">
        <v>0</v>
      </c>
      <c r="AZ28" s="159">
        <v>0</v>
      </c>
      <c r="BA28" s="4"/>
      <c r="BB28" s="175">
        <v>1075</v>
      </c>
      <c r="BC28" s="175">
        <v>1118</v>
      </c>
      <c r="BD28" s="175">
        <v>1432</v>
      </c>
      <c r="BE28" s="175">
        <f t="shared" si="11"/>
        <v>43</v>
      </c>
      <c r="BF28" s="175">
        <f t="shared" si="12"/>
        <v>8735.4847968172762</v>
      </c>
      <c r="BG28" s="177">
        <f t="shared" si="13"/>
        <v>59.666666666666664</v>
      </c>
      <c r="BH28" s="191">
        <v>2.1219999999999999</v>
      </c>
      <c r="BI28" s="191">
        <v>2.1219999999999999</v>
      </c>
      <c r="BJ28" s="181">
        <v>27.2</v>
      </c>
      <c r="BK28" s="192">
        <v>28.05</v>
      </c>
      <c r="BL28" s="192">
        <v>22.96</v>
      </c>
      <c r="BM28" s="192">
        <v>28.28</v>
      </c>
      <c r="BN28" s="195">
        <v>991.3</v>
      </c>
      <c r="BO28" s="181">
        <v>50.06</v>
      </c>
      <c r="BP28" s="193">
        <v>0.93679999999999997</v>
      </c>
      <c r="BQ28" s="194">
        <v>95.8</v>
      </c>
      <c r="BR28" s="194">
        <v>86.38</v>
      </c>
      <c r="BS28" s="49">
        <f t="shared" si="14"/>
        <v>-9.4200000000000017</v>
      </c>
      <c r="BT28" s="194">
        <v>12262</v>
      </c>
      <c r="BU28" s="194">
        <v>11798</v>
      </c>
      <c r="BV28" s="51">
        <f t="shared" si="15"/>
        <v>-464</v>
      </c>
      <c r="BW28" s="175">
        <f t="shared" si="16"/>
        <v>4.2439999999999998</v>
      </c>
      <c r="BX28" s="177">
        <v>24</v>
      </c>
      <c r="BY28" s="177">
        <v>24</v>
      </c>
      <c r="CA28" s="177">
        <v>24</v>
      </c>
      <c r="CB28" s="177">
        <v>8.1999999999999993</v>
      </c>
      <c r="CD28" s="177">
        <v>2.1</v>
      </c>
      <c r="CE28" s="177">
        <v>3.4</v>
      </c>
      <c r="CF28" s="177">
        <v>1.8</v>
      </c>
      <c r="CG28" s="177">
        <v>1.6</v>
      </c>
    </row>
    <row r="29" spans="1:85">
      <c r="A29" s="452"/>
      <c r="B29" s="24">
        <v>43181</v>
      </c>
      <c r="C29" s="157">
        <v>71.72</v>
      </c>
      <c r="D29" s="197">
        <v>0.64700000000000002</v>
      </c>
      <c r="E29" s="171">
        <v>61.09</v>
      </c>
      <c r="F29" s="160">
        <v>82</v>
      </c>
      <c r="G29" s="160">
        <v>61</v>
      </c>
      <c r="H29" s="160">
        <v>24</v>
      </c>
      <c r="I29" s="160">
        <v>0</v>
      </c>
      <c r="J29" s="160">
        <v>24</v>
      </c>
      <c r="K29" s="160">
        <v>0</v>
      </c>
      <c r="L29" s="188">
        <v>0</v>
      </c>
      <c r="M29" s="188">
        <v>0</v>
      </c>
      <c r="N29" s="188">
        <v>0</v>
      </c>
      <c r="O29" s="188">
        <v>0</v>
      </c>
      <c r="P29" s="188">
        <v>24</v>
      </c>
      <c r="Q29" s="157">
        <v>0</v>
      </c>
      <c r="R29" s="259">
        <v>3663</v>
      </c>
      <c r="S29" s="159">
        <v>3589</v>
      </c>
      <c r="T29" s="160">
        <v>3589</v>
      </c>
      <c r="U29" s="160">
        <v>3511</v>
      </c>
      <c r="V29" s="160">
        <v>3618</v>
      </c>
      <c r="W29" s="160">
        <v>45</v>
      </c>
      <c r="X29" s="160">
        <v>0</v>
      </c>
      <c r="Y29" s="160">
        <v>46</v>
      </c>
      <c r="Z29" s="188">
        <v>0</v>
      </c>
      <c r="AA29" s="188">
        <v>60</v>
      </c>
      <c r="AB29" s="188">
        <v>0</v>
      </c>
      <c r="AC29" s="165">
        <f t="shared" si="0"/>
        <v>107</v>
      </c>
      <c r="AD29" s="166">
        <f t="shared" si="1"/>
        <v>-78</v>
      </c>
      <c r="AE29" s="160">
        <v>153</v>
      </c>
      <c r="AF29" s="167">
        <f t="shared" si="2"/>
        <v>0.98529411764705888</v>
      </c>
      <c r="AG29" s="168">
        <f t="shared" si="3"/>
        <v>152.625</v>
      </c>
      <c r="AH29" s="167">
        <f t="shared" si="4"/>
        <v>0.95850395850395853</v>
      </c>
      <c r="AI29" s="169">
        <f t="shared" si="17"/>
        <v>1</v>
      </c>
      <c r="AJ29" s="170">
        <f>IF(U29&gt;0,(1440-((X29*W29+AT29*AU29)+(Z29*Y29+AV29*AW29)+(AA29*AB29+AX29*AY29))/(W29+Y29+AA29))/1440,"no data")</f>
        <v>1</v>
      </c>
      <c r="AK29" s="235">
        <v>9.5960000000000001</v>
      </c>
      <c r="AL29" s="239">
        <v>137.69999999999999</v>
      </c>
      <c r="AM29" s="275">
        <f t="shared" si="7"/>
        <v>1321.3691999999999</v>
      </c>
      <c r="AN29" s="235">
        <v>30.302779000000001</v>
      </c>
      <c r="AO29" s="318">
        <v>970.56712191314205</v>
      </c>
      <c r="AP29" s="172">
        <f t="shared" si="8"/>
        <v>29410.881000000001</v>
      </c>
      <c r="AQ29" s="202">
        <f t="shared" si="9"/>
        <v>8753.1330675021381</v>
      </c>
      <c r="AR29" s="199">
        <f t="shared" si="10"/>
        <v>149.54166666666666</v>
      </c>
      <c r="AS29" s="13"/>
      <c r="AT29" s="159">
        <v>0</v>
      </c>
      <c r="AU29" s="174">
        <v>0</v>
      </c>
      <c r="AV29" s="174">
        <v>0</v>
      </c>
      <c r="AW29" s="159">
        <v>0</v>
      </c>
      <c r="AX29" s="174">
        <v>0</v>
      </c>
      <c r="AY29" s="159">
        <v>0</v>
      </c>
      <c r="AZ29" s="159">
        <v>0</v>
      </c>
      <c r="BA29" s="4"/>
      <c r="BB29" s="175">
        <v>1071</v>
      </c>
      <c r="BC29" s="175">
        <v>1112</v>
      </c>
      <c r="BD29" s="175">
        <v>1435</v>
      </c>
      <c r="BE29" s="175">
        <f t="shared" si="11"/>
        <v>41</v>
      </c>
      <c r="BF29" s="175">
        <f t="shared" si="12"/>
        <v>8753.1330675021381</v>
      </c>
      <c r="BG29" s="177">
        <f t="shared" si="13"/>
        <v>59.791666666666664</v>
      </c>
      <c r="BH29" s="191">
        <v>2.149</v>
      </c>
      <c r="BI29" s="155">
        <v>2.149</v>
      </c>
      <c r="BJ29" s="260">
        <v>27</v>
      </c>
      <c r="BK29" s="181">
        <v>27.93</v>
      </c>
      <c r="BL29" s="192">
        <v>22.89</v>
      </c>
      <c r="BM29" s="195">
        <v>27.65</v>
      </c>
      <c r="BN29" s="192">
        <v>992.08</v>
      </c>
      <c r="BO29" s="192">
        <v>50.05</v>
      </c>
      <c r="BP29" s="193">
        <v>0.9365</v>
      </c>
      <c r="BQ29" s="194">
        <v>95.8</v>
      </c>
      <c r="BR29" s="181">
        <v>86.44</v>
      </c>
      <c r="BS29" s="49">
        <f t="shared" si="14"/>
        <v>-9.36</v>
      </c>
      <c r="BT29" s="194">
        <v>12252</v>
      </c>
      <c r="BU29" s="175">
        <v>11781</v>
      </c>
      <c r="BV29" s="51">
        <f t="shared" si="15"/>
        <v>-471</v>
      </c>
      <c r="BW29" s="175">
        <f t="shared" si="16"/>
        <v>4.298</v>
      </c>
      <c r="BX29" s="177">
        <v>24</v>
      </c>
      <c r="BY29" s="177">
        <v>24</v>
      </c>
      <c r="CA29" s="177">
        <v>24</v>
      </c>
      <c r="CB29" s="177">
        <v>4.45</v>
      </c>
      <c r="CD29" s="177">
        <v>2.2000000000000002</v>
      </c>
      <c r="CE29" s="177">
        <v>3.5</v>
      </c>
      <c r="CF29" s="177">
        <v>1.6</v>
      </c>
      <c r="CG29" s="177">
        <v>1.4</v>
      </c>
    </row>
    <row r="30" spans="1:85">
      <c r="A30" s="452"/>
      <c r="B30" s="24">
        <v>43182</v>
      </c>
      <c r="C30" s="157">
        <v>75.099999999999994</v>
      </c>
      <c r="D30" s="197">
        <v>0.60299999999999998</v>
      </c>
      <c r="E30" s="171">
        <v>61.83</v>
      </c>
      <c r="F30" s="160">
        <v>87</v>
      </c>
      <c r="G30" s="160">
        <v>62</v>
      </c>
      <c r="H30" s="160">
        <v>24</v>
      </c>
      <c r="I30" s="160">
        <v>0</v>
      </c>
      <c r="J30" s="160">
        <v>24</v>
      </c>
      <c r="K30" s="160">
        <v>0</v>
      </c>
      <c r="L30" s="187">
        <v>0</v>
      </c>
      <c r="M30" s="187">
        <v>0</v>
      </c>
      <c r="N30" s="187">
        <v>0</v>
      </c>
      <c r="O30" s="187">
        <v>0</v>
      </c>
      <c r="P30" s="187">
        <v>24</v>
      </c>
      <c r="Q30" s="157">
        <v>0</v>
      </c>
      <c r="R30" s="257">
        <v>3636</v>
      </c>
      <c r="S30" s="171">
        <v>3566</v>
      </c>
      <c r="T30" s="160">
        <v>3566</v>
      </c>
      <c r="U30" s="160">
        <v>3497</v>
      </c>
      <c r="V30" s="160">
        <v>3606</v>
      </c>
      <c r="W30" s="160">
        <v>44</v>
      </c>
      <c r="X30" s="160">
        <v>0</v>
      </c>
      <c r="Y30" s="160">
        <v>46</v>
      </c>
      <c r="Z30" s="187">
        <v>0</v>
      </c>
      <c r="AA30" s="187">
        <v>60</v>
      </c>
      <c r="AB30" s="187">
        <v>0</v>
      </c>
      <c r="AC30" s="165">
        <f t="shared" si="0"/>
        <v>109</v>
      </c>
      <c r="AD30" s="166">
        <f t="shared" si="1"/>
        <v>-69</v>
      </c>
      <c r="AE30" s="160">
        <v>153</v>
      </c>
      <c r="AF30" s="167">
        <f t="shared" si="2"/>
        <v>0.98202614379084963</v>
      </c>
      <c r="AG30" s="168">
        <f t="shared" si="3"/>
        <v>151.5</v>
      </c>
      <c r="AH30" s="167">
        <f t="shared" si="4"/>
        <v>0.96177117711771176</v>
      </c>
      <c r="AI30" s="169">
        <f t="shared" si="17"/>
        <v>1</v>
      </c>
      <c r="AJ30" s="170">
        <f t="shared" si="6"/>
        <v>1</v>
      </c>
      <c r="AK30" s="235">
        <v>9.5909999999999993</v>
      </c>
      <c r="AL30" s="239">
        <v>135.72</v>
      </c>
      <c r="AM30" s="275">
        <f t="shared" si="7"/>
        <v>1301.6905199999999</v>
      </c>
      <c r="AN30" s="235">
        <v>30.224810999999999</v>
      </c>
      <c r="AO30" s="318">
        <v>970.52587028583901</v>
      </c>
      <c r="AP30" s="172">
        <f t="shared" si="8"/>
        <v>29333.960999999999</v>
      </c>
      <c r="AQ30" s="202">
        <f t="shared" si="9"/>
        <v>8760.5523362882468</v>
      </c>
      <c r="AR30" s="199">
        <f t="shared" si="10"/>
        <v>148.58333333333334</v>
      </c>
      <c r="AS30" s="13"/>
      <c r="AT30" s="159">
        <v>0</v>
      </c>
      <c r="AU30" s="174">
        <v>0</v>
      </c>
      <c r="AV30" s="174">
        <v>0</v>
      </c>
      <c r="AW30" s="159">
        <v>0</v>
      </c>
      <c r="AX30" s="174">
        <v>0</v>
      </c>
      <c r="AY30" s="159">
        <v>0</v>
      </c>
      <c r="AZ30" s="159">
        <v>0</v>
      </c>
      <c r="BA30" s="4"/>
      <c r="BB30" s="175">
        <v>1066</v>
      </c>
      <c r="BC30" s="175">
        <v>1104</v>
      </c>
      <c r="BD30" s="175">
        <v>1436</v>
      </c>
      <c r="BE30" s="175">
        <f t="shared" si="11"/>
        <v>38</v>
      </c>
      <c r="BF30" s="175">
        <f t="shared" si="12"/>
        <v>8760.5523362882468</v>
      </c>
      <c r="BG30" s="177">
        <f t="shared" si="13"/>
        <v>59.833333333333336</v>
      </c>
      <c r="BH30" s="191">
        <v>2.1850000000000001</v>
      </c>
      <c r="BI30" s="155">
        <v>2.1850000000000001</v>
      </c>
      <c r="BJ30" s="181">
        <v>27</v>
      </c>
      <c r="BK30" s="192">
        <v>27.76</v>
      </c>
      <c r="BL30" s="192">
        <v>22.75</v>
      </c>
      <c r="BM30" s="192">
        <v>27.83</v>
      </c>
      <c r="BN30" s="192">
        <v>992.3</v>
      </c>
      <c r="BO30" s="181">
        <v>50.05</v>
      </c>
      <c r="BP30" s="193">
        <v>0.93679999999999997</v>
      </c>
      <c r="BQ30" s="194">
        <v>95.68</v>
      </c>
      <c r="BR30" s="181">
        <v>86.4</v>
      </c>
      <c r="BS30" s="49">
        <f t="shared" si="14"/>
        <v>-9.2800000000000011</v>
      </c>
      <c r="BT30" s="194">
        <v>12243</v>
      </c>
      <c r="BU30" s="175">
        <v>11800</v>
      </c>
      <c r="BV30" s="51">
        <f t="shared" si="15"/>
        <v>-443</v>
      </c>
      <c r="BW30" s="175">
        <f t="shared" si="16"/>
        <v>4.37</v>
      </c>
      <c r="BX30" s="177">
        <v>24</v>
      </c>
      <c r="BY30" s="177">
        <v>24</v>
      </c>
      <c r="CA30" s="177">
        <v>24</v>
      </c>
      <c r="CB30" s="177">
        <v>7.12</v>
      </c>
      <c r="CD30" s="177">
        <v>2</v>
      </c>
      <c r="CE30" s="177">
        <v>3.4</v>
      </c>
      <c r="CF30" s="177">
        <v>1.6</v>
      </c>
      <c r="CG30" s="177">
        <v>1.2</v>
      </c>
    </row>
    <row r="31" spans="1:85">
      <c r="A31" s="452"/>
      <c r="B31" s="24">
        <v>43183</v>
      </c>
      <c r="C31" s="157">
        <v>76.400000000000006</v>
      </c>
      <c r="D31" s="197">
        <v>0.58299999999999996</v>
      </c>
      <c r="E31" s="171">
        <v>62.18</v>
      </c>
      <c r="F31" s="159">
        <v>88</v>
      </c>
      <c r="G31" s="159">
        <v>64</v>
      </c>
      <c r="H31" s="160">
        <v>24</v>
      </c>
      <c r="I31" s="160">
        <v>0</v>
      </c>
      <c r="J31" s="160">
        <v>24</v>
      </c>
      <c r="K31" s="160">
        <v>0</v>
      </c>
      <c r="L31" s="187">
        <v>0</v>
      </c>
      <c r="M31" s="187">
        <v>0</v>
      </c>
      <c r="N31" s="187">
        <v>0</v>
      </c>
      <c r="O31" s="187">
        <v>0</v>
      </c>
      <c r="P31" s="187">
        <v>24</v>
      </c>
      <c r="Q31" s="157">
        <v>0</v>
      </c>
      <c r="R31" s="259">
        <v>3630</v>
      </c>
      <c r="S31" s="159">
        <v>3564</v>
      </c>
      <c r="T31" s="159">
        <v>3564</v>
      </c>
      <c r="U31" s="159">
        <v>3490</v>
      </c>
      <c r="V31" s="160">
        <v>3597</v>
      </c>
      <c r="W31" s="160">
        <v>44</v>
      </c>
      <c r="X31" s="160">
        <v>0</v>
      </c>
      <c r="Y31" s="160">
        <v>46</v>
      </c>
      <c r="Z31" s="187">
        <v>0</v>
      </c>
      <c r="AA31" s="187">
        <v>60</v>
      </c>
      <c r="AB31" s="187">
        <v>0</v>
      </c>
      <c r="AC31" s="165">
        <f t="shared" si="0"/>
        <v>107</v>
      </c>
      <c r="AD31" s="166">
        <f t="shared" si="1"/>
        <v>-74</v>
      </c>
      <c r="AE31" s="160">
        <v>153</v>
      </c>
      <c r="AF31" s="167">
        <f t="shared" si="2"/>
        <v>0.97957516339869277</v>
      </c>
      <c r="AG31" s="168">
        <f t="shared" si="3"/>
        <v>151.25</v>
      </c>
      <c r="AH31" s="167">
        <f t="shared" si="4"/>
        <v>0.9614325068870524</v>
      </c>
      <c r="AI31" s="169">
        <f t="shared" si="17"/>
        <v>1</v>
      </c>
      <c r="AJ31" s="170">
        <f t="shared" si="6"/>
        <v>1</v>
      </c>
      <c r="AK31" s="235">
        <v>9.5190000000000001</v>
      </c>
      <c r="AL31" s="239">
        <v>132.09</v>
      </c>
      <c r="AM31" s="275">
        <f t="shared" si="7"/>
        <v>1257.3647100000001</v>
      </c>
      <c r="AN31" s="235">
        <v>30.609000000000002</v>
      </c>
      <c r="AO31" s="318">
        <v>958.32359110180812</v>
      </c>
      <c r="AP31" s="172">
        <f t="shared" si="8"/>
        <v>29333.326800035247</v>
      </c>
      <c r="AQ31" s="202">
        <f t="shared" si="9"/>
        <v>8765.2411203539396</v>
      </c>
      <c r="AR31" s="199">
        <f t="shared" si="10"/>
        <v>148.5</v>
      </c>
      <c r="AS31" s="13"/>
      <c r="AT31" s="159">
        <v>0</v>
      </c>
      <c r="AU31" s="174">
        <v>0</v>
      </c>
      <c r="AV31" s="159">
        <v>0</v>
      </c>
      <c r="AW31" s="159">
        <v>0</v>
      </c>
      <c r="AX31" s="174">
        <v>0</v>
      </c>
      <c r="AY31" s="159">
        <v>0</v>
      </c>
      <c r="AZ31" s="159">
        <v>0</v>
      </c>
      <c r="BA31" s="4"/>
      <c r="BB31" s="175">
        <v>1064</v>
      </c>
      <c r="BC31" s="175">
        <v>1105</v>
      </c>
      <c r="BD31" s="175">
        <v>1428</v>
      </c>
      <c r="BE31" s="175">
        <f t="shared" si="11"/>
        <v>41</v>
      </c>
      <c r="BF31" s="175">
        <f t="shared" si="12"/>
        <v>8765.2411203539396</v>
      </c>
      <c r="BG31" s="177">
        <f t="shared" si="13"/>
        <v>59.5</v>
      </c>
      <c r="BH31" s="191">
        <v>2.173</v>
      </c>
      <c r="BI31" s="155">
        <v>2.173</v>
      </c>
      <c r="BJ31" s="181">
        <v>27</v>
      </c>
      <c r="BK31" s="192">
        <v>28.15</v>
      </c>
      <c r="BL31" s="192">
        <v>23.02</v>
      </c>
      <c r="BM31" s="192">
        <v>28.2</v>
      </c>
      <c r="BN31" s="192">
        <v>994.7</v>
      </c>
      <c r="BO31" s="192">
        <v>50.02</v>
      </c>
      <c r="BP31" s="193">
        <v>0.93810000000000004</v>
      </c>
      <c r="BQ31" s="192">
        <v>95.7</v>
      </c>
      <c r="BR31" s="181">
        <v>86.4</v>
      </c>
      <c r="BS31" s="49">
        <f t="shared" si="14"/>
        <v>-9.2999999999999972</v>
      </c>
      <c r="BT31" s="175">
        <v>12435</v>
      </c>
      <c r="BU31" s="175">
        <v>11958</v>
      </c>
      <c r="BV31" s="51">
        <f t="shared" si="15"/>
        <v>-477</v>
      </c>
      <c r="BW31" s="175">
        <f t="shared" si="16"/>
        <v>4.3460000000000001</v>
      </c>
      <c r="BX31" s="177">
        <v>24</v>
      </c>
      <c r="BY31" s="177">
        <v>24</v>
      </c>
      <c r="CA31" s="177">
        <v>24</v>
      </c>
      <c r="CB31" s="177">
        <v>7</v>
      </c>
      <c r="CD31" s="177">
        <v>2.1</v>
      </c>
      <c r="CE31" s="177">
        <v>3.5</v>
      </c>
      <c r="CF31" s="177">
        <v>1.8</v>
      </c>
      <c r="CG31" s="177">
        <v>1.1000000000000001</v>
      </c>
    </row>
    <row r="32" spans="1:85">
      <c r="A32" s="453"/>
      <c r="B32" s="24">
        <v>43184</v>
      </c>
      <c r="C32" s="157">
        <v>79.2</v>
      </c>
      <c r="D32" s="197">
        <v>0.56799999999999995</v>
      </c>
      <c r="E32" s="171">
        <v>64</v>
      </c>
      <c r="F32" s="159">
        <v>94</v>
      </c>
      <c r="G32" s="159">
        <v>64</v>
      </c>
      <c r="H32" s="160">
        <v>24</v>
      </c>
      <c r="I32" s="160">
        <v>0</v>
      </c>
      <c r="J32" s="160">
        <v>24</v>
      </c>
      <c r="K32" s="160">
        <v>0</v>
      </c>
      <c r="L32" s="187">
        <v>0</v>
      </c>
      <c r="M32" s="187">
        <v>0</v>
      </c>
      <c r="N32" s="187">
        <v>0</v>
      </c>
      <c r="O32" s="187">
        <v>0</v>
      </c>
      <c r="P32" s="187">
        <v>0</v>
      </c>
      <c r="Q32" s="157">
        <v>0</v>
      </c>
      <c r="R32" s="257">
        <v>3612</v>
      </c>
      <c r="S32" s="262">
        <v>3210</v>
      </c>
      <c r="T32" s="262">
        <v>3210</v>
      </c>
      <c r="U32" s="262">
        <v>3145</v>
      </c>
      <c r="V32" s="263">
        <v>3239</v>
      </c>
      <c r="W32" s="160">
        <v>44</v>
      </c>
      <c r="X32" s="160">
        <v>0</v>
      </c>
      <c r="Y32" s="160">
        <v>46</v>
      </c>
      <c r="Z32" s="187">
        <v>0</v>
      </c>
      <c r="AA32" s="187">
        <v>60</v>
      </c>
      <c r="AB32" s="187">
        <v>0</v>
      </c>
      <c r="AC32" s="165">
        <f t="shared" si="0"/>
        <v>94</v>
      </c>
      <c r="AD32" s="166">
        <f t="shared" si="1"/>
        <v>-65</v>
      </c>
      <c r="AE32" s="159">
        <v>139</v>
      </c>
      <c r="AF32" s="167">
        <f t="shared" si="2"/>
        <v>0.97092326139088725</v>
      </c>
      <c r="AG32" s="168">
        <f t="shared" si="3"/>
        <v>150.5</v>
      </c>
      <c r="AH32" s="167">
        <f t="shared" si="4"/>
        <v>0.87070874861572534</v>
      </c>
      <c r="AI32" s="169">
        <f t="shared" si="17"/>
        <v>1</v>
      </c>
      <c r="AJ32" s="170">
        <f t="shared" si="6"/>
        <v>0.91999999999999993</v>
      </c>
      <c r="AK32" s="235">
        <v>9.3829999999999991</v>
      </c>
      <c r="AL32" s="239">
        <v>134.27000000000001</v>
      </c>
      <c r="AM32" s="275">
        <f t="shared" si="7"/>
        <v>1259.8554099999999</v>
      </c>
      <c r="AN32" s="235">
        <v>26.681000000000001</v>
      </c>
      <c r="AO32" s="318">
        <v>959.83399999999995</v>
      </c>
      <c r="AP32" s="172">
        <f t="shared" si="8"/>
        <v>25609.330954000001</v>
      </c>
      <c r="AQ32" s="202">
        <f t="shared" si="9"/>
        <v>8543.4614829888724</v>
      </c>
      <c r="AR32" s="199">
        <f t="shared" si="10"/>
        <v>133.75</v>
      </c>
      <c r="AS32" s="13"/>
      <c r="AT32" s="159">
        <v>0</v>
      </c>
      <c r="AU32" s="174">
        <v>0</v>
      </c>
      <c r="AV32" s="174">
        <v>0</v>
      </c>
      <c r="AW32" s="159">
        <v>0</v>
      </c>
      <c r="AX32" s="174">
        <v>12</v>
      </c>
      <c r="AY32" s="159">
        <v>1440</v>
      </c>
      <c r="AZ32" s="159">
        <v>0</v>
      </c>
      <c r="BA32" s="4"/>
      <c r="BB32" s="175">
        <v>1057</v>
      </c>
      <c r="BC32" s="175">
        <v>1098</v>
      </c>
      <c r="BD32" s="175">
        <v>1084</v>
      </c>
      <c r="BE32" s="175">
        <f t="shared" si="11"/>
        <v>41</v>
      </c>
      <c r="BF32" s="175">
        <f t="shared" si="12"/>
        <v>8543.4614829888724</v>
      </c>
      <c r="BG32" s="177">
        <f t="shared" si="13"/>
        <v>45.166666666666664</v>
      </c>
      <c r="BH32" s="191">
        <v>0.38100000000000001</v>
      </c>
      <c r="BI32" s="155">
        <v>0.32</v>
      </c>
      <c r="BJ32" s="181">
        <v>27</v>
      </c>
      <c r="BK32" s="192">
        <v>28.06</v>
      </c>
      <c r="BL32" s="192">
        <v>22.82</v>
      </c>
      <c r="BM32" s="192">
        <v>28.26</v>
      </c>
      <c r="BN32" s="179">
        <v>995.17</v>
      </c>
      <c r="BO32" s="192">
        <v>50.03</v>
      </c>
      <c r="BP32" s="193">
        <v>0.93740000000000001</v>
      </c>
      <c r="BQ32" s="192">
        <v>95.71</v>
      </c>
      <c r="BR32" s="181">
        <v>86.45</v>
      </c>
      <c r="BS32" s="49">
        <f t="shared" si="14"/>
        <v>-9.2599999999999909</v>
      </c>
      <c r="BT32" s="175">
        <v>12472</v>
      </c>
      <c r="BU32" s="175">
        <v>11951</v>
      </c>
      <c r="BV32" s="51">
        <f t="shared" si="15"/>
        <v>-521</v>
      </c>
      <c r="BW32" s="175">
        <f t="shared" si="16"/>
        <v>0.70100000000000007</v>
      </c>
      <c r="BX32" s="177">
        <v>24</v>
      </c>
      <c r="BY32" s="177">
        <v>24</v>
      </c>
      <c r="CA32" s="177">
        <v>24</v>
      </c>
      <c r="CB32" s="177">
        <v>7.07</v>
      </c>
      <c r="CD32" s="177">
        <v>2.1</v>
      </c>
      <c r="CE32" s="177">
        <v>3.4</v>
      </c>
      <c r="CF32" s="177">
        <v>1.8</v>
      </c>
      <c r="CG32" s="177">
        <v>1.2</v>
      </c>
    </row>
    <row r="33" spans="1:85" ht="15" customHeight="1">
      <c r="A33" s="451" t="s">
        <v>165</v>
      </c>
      <c r="B33" s="24">
        <v>43185</v>
      </c>
      <c r="C33" s="266">
        <v>80.099999999999994</v>
      </c>
      <c r="D33" s="26">
        <v>0.53600000000000003</v>
      </c>
      <c r="E33" s="268">
        <v>66</v>
      </c>
      <c r="F33" s="266">
        <v>96</v>
      </c>
      <c r="G33" s="266">
        <v>66</v>
      </c>
      <c r="H33" s="266">
        <v>24</v>
      </c>
      <c r="I33" s="266">
        <v>0</v>
      </c>
      <c r="J33" s="266">
        <v>24</v>
      </c>
      <c r="K33" s="266">
        <v>0</v>
      </c>
      <c r="L33" s="266">
        <v>0</v>
      </c>
      <c r="M33" s="266">
        <v>0</v>
      </c>
      <c r="N33" s="266">
        <v>0</v>
      </c>
      <c r="O33" s="266">
        <v>0</v>
      </c>
      <c r="P33" s="266">
        <v>24</v>
      </c>
      <c r="Q33" s="266">
        <v>0</v>
      </c>
      <c r="R33" s="267">
        <v>3596</v>
      </c>
      <c r="S33" s="267">
        <v>3516</v>
      </c>
      <c r="T33" s="267">
        <v>3516</v>
      </c>
      <c r="U33" s="267">
        <v>3459</v>
      </c>
      <c r="V33" s="267">
        <v>3569</v>
      </c>
      <c r="W33" s="266">
        <v>44</v>
      </c>
      <c r="X33" s="266">
        <v>0</v>
      </c>
      <c r="Y33" s="28">
        <v>46</v>
      </c>
      <c r="Z33" s="28">
        <v>0</v>
      </c>
      <c r="AA33" s="28">
        <v>59</v>
      </c>
      <c r="AB33" s="27">
        <v>0</v>
      </c>
      <c r="AC33" s="221">
        <f t="shared" si="0"/>
        <v>110</v>
      </c>
      <c r="AD33" s="222">
        <f t="shared" si="1"/>
        <v>-57</v>
      </c>
      <c r="AE33" s="223">
        <v>153</v>
      </c>
      <c r="AF33" s="224">
        <f t="shared" si="2"/>
        <v>0.97194989106753815</v>
      </c>
      <c r="AG33" s="225">
        <f t="shared" si="3"/>
        <v>149.83333333333334</v>
      </c>
      <c r="AH33" s="224">
        <f t="shared" si="4"/>
        <v>0.96190211345939935</v>
      </c>
      <c r="AI33" s="226">
        <f t="shared" si="17"/>
        <v>1</v>
      </c>
      <c r="AJ33" s="227">
        <f t="shared" si="6"/>
        <v>1</v>
      </c>
      <c r="AK33" s="235">
        <v>9.5030000000000001</v>
      </c>
      <c r="AL33" s="239">
        <v>134.85</v>
      </c>
      <c r="AM33" s="38">
        <f t="shared" si="7"/>
        <v>1281.47955</v>
      </c>
      <c r="AN33" s="235">
        <v>30.745999999999999</v>
      </c>
      <c r="AO33" s="318">
        <v>941.55828844318103</v>
      </c>
      <c r="AP33" s="39">
        <f t="shared" si="8"/>
        <v>28949.151136474044</v>
      </c>
      <c r="AQ33" s="228">
        <f t="shared" si="9"/>
        <v>8739.7024245371631</v>
      </c>
      <c r="AR33" s="229">
        <f t="shared" si="10"/>
        <v>146.5</v>
      </c>
      <c r="AS33" s="13"/>
      <c r="AT33" s="27">
        <v>0</v>
      </c>
      <c r="AU33" s="40">
        <v>0</v>
      </c>
      <c r="AV33" s="40">
        <v>0</v>
      </c>
      <c r="AW33" s="27">
        <v>0</v>
      </c>
      <c r="AX33" s="40">
        <v>0</v>
      </c>
      <c r="AY33" s="27">
        <v>0</v>
      </c>
      <c r="AZ33" s="27">
        <v>0</v>
      </c>
      <c r="BA33" s="4"/>
      <c r="BB33" s="41">
        <v>1057</v>
      </c>
      <c r="BC33" s="41">
        <v>1096</v>
      </c>
      <c r="BD33" s="41">
        <v>1416</v>
      </c>
      <c r="BE33" s="41">
        <f t="shared" si="11"/>
        <v>39</v>
      </c>
      <c r="BF33" s="41">
        <f t="shared" si="12"/>
        <v>8739.7024245371631</v>
      </c>
      <c r="BG33" s="77">
        <f t="shared" si="13"/>
        <v>59</v>
      </c>
      <c r="BH33" s="43">
        <v>2.1960000000000002</v>
      </c>
      <c r="BI33" s="44">
        <v>2.1960000000000002</v>
      </c>
      <c r="BJ33" s="45">
        <v>27</v>
      </c>
      <c r="BK33" s="46">
        <v>28.65</v>
      </c>
      <c r="BL33" s="45">
        <v>23.33</v>
      </c>
      <c r="BM33" s="45">
        <v>28.15</v>
      </c>
      <c r="BN33" s="47">
        <v>991.96</v>
      </c>
      <c r="BO33" s="45">
        <v>50.02</v>
      </c>
      <c r="BP33" s="48">
        <v>0.93769999999999998</v>
      </c>
      <c r="BQ33" s="66">
        <v>95.64</v>
      </c>
      <c r="BR33" s="45">
        <v>86.45</v>
      </c>
      <c r="BS33" s="49">
        <f t="shared" si="14"/>
        <v>-9.1899999999999977</v>
      </c>
      <c r="BT33" s="41">
        <v>12739</v>
      </c>
      <c r="BU33" s="41">
        <v>12193</v>
      </c>
      <c r="BV33" s="51">
        <f t="shared" si="15"/>
        <v>-546</v>
      </c>
      <c r="BW33" s="41">
        <f t="shared" si="16"/>
        <v>4.3920000000000003</v>
      </c>
      <c r="BX33" s="42">
        <v>24</v>
      </c>
      <c r="BY33" s="42">
        <v>24</v>
      </c>
      <c r="CA33" s="42">
        <v>24</v>
      </c>
      <c r="CB33" s="42">
        <v>5.83</v>
      </c>
      <c r="CD33" s="42">
        <v>2.1</v>
      </c>
      <c r="CE33" s="42">
        <v>3.4</v>
      </c>
      <c r="CF33" s="42">
        <v>1.8</v>
      </c>
      <c r="CG33" s="42">
        <v>1.2</v>
      </c>
    </row>
    <row r="34" spans="1:85">
      <c r="A34" s="452"/>
      <c r="B34" s="24">
        <v>43186</v>
      </c>
      <c r="C34" s="266">
        <v>80.2</v>
      </c>
      <c r="D34" s="26">
        <v>0.53200000000000003</v>
      </c>
      <c r="E34" s="268">
        <v>63.5</v>
      </c>
      <c r="F34" s="266">
        <v>94</v>
      </c>
      <c r="G34" s="266">
        <v>65</v>
      </c>
      <c r="H34" s="266">
        <v>11</v>
      </c>
      <c r="I34" s="266">
        <v>8</v>
      </c>
      <c r="J34" s="266">
        <v>24</v>
      </c>
      <c r="K34" s="269">
        <v>0</v>
      </c>
      <c r="L34" s="269">
        <v>0</v>
      </c>
      <c r="M34" s="269">
        <v>0</v>
      </c>
      <c r="N34" s="266">
        <v>0</v>
      </c>
      <c r="O34" s="266">
        <v>0</v>
      </c>
      <c r="P34" s="266">
        <v>11</v>
      </c>
      <c r="Q34" s="266">
        <v>8</v>
      </c>
      <c r="R34" s="267">
        <v>3594</v>
      </c>
      <c r="S34" s="267">
        <v>2624</v>
      </c>
      <c r="T34" s="267">
        <v>2624</v>
      </c>
      <c r="U34" s="267">
        <v>2580</v>
      </c>
      <c r="V34" s="267">
        <v>2675</v>
      </c>
      <c r="W34" s="266">
        <v>45</v>
      </c>
      <c r="X34" s="266">
        <v>744</v>
      </c>
      <c r="Y34" s="270">
        <v>45</v>
      </c>
      <c r="Z34" s="28">
        <v>0</v>
      </c>
      <c r="AA34" s="28">
        <v>59</v>
      </c>
      <c r="AB34" s="27">
        <v>0</v>
      </c>
      <c r="AC34" s="221">
        <f t="shared" si="0"/>
        <v>95</v>
      </c>
      <c r="AD34" s="222">
        <f t="shared" si="1"/>
        <v>-44</v>
      </c>
      <c r="AE34" s="223">
        <v>153</v>
      </c>
      <c r="AF34" s="224">
        <f t="shared" si="2"/>
        <v>0.72848583877995643</v>
      </c>
      <c r="AG34" s="225">
        <f t="shared" si="3"/>
        <v>149.75</v>
      </c>
      <c r="AH34" s="224">
        <f t="shared" si="4"/>
        <v>0.71786310517529217</v>
      </c>
      <c r="AI34" s="226">
        <f t="shared" si="17"/>
        <v>0.84395973154362425</v>
      </c>
      <c r="AJ34" s="227">
        <f t="shared" si="6"/>
        <v>0.73253169276659202</v>
      </c>
      <c r="AK34" s="235">
        <v>9.4960000000000004</v>
      </c>
      <c r="AL34" s="239">
        <v>135.91</v>
      </c>
      <c r="AM34" s="38">
        <f t="shared" si="7"/>
        <v>1290.6013600000001</v>
      </c>
      <c r="AN34" s="235">
        <v>22.66</v>
      </c>
      <c r="AO34" s="318">
        <v>958.32951986482442</v>
      </c>
      <c r="AP34" s="39">
        <f t="shared" si="8"/>
        <v>21715.74692013692</v>
      </c>
      <c r="AQ34" s="228">
        <f t="shared" si="9"/>
        <v>8917.1892558670243</v>
      </c>
      <c r="AR34" s="229">
        <f t="shared" si="10"/>
        <v>109.33333333333333</v>
      </c>
      <c r="AS34" s="13"/>
      <c r="AT34" s="27">
        <v>20</v>
      </c>
      <c r="AU34" s="40">
        <v>76</v>
      </c>
      <c r="AV34" s="40">
        <v>0</v>
      </c>
      <c r="AW34" s="27">
        <v>0</v>
      </c>
      <c r="AX34" s="40">
        <v>29</v>
      </c>
      <c r="AY34" s="27">
        <v>772</v>
      </c>
      <c r="AZ34" s="27">
        <v>0</v>
      </c>
      <c r="BA34" s="4"/>
      <c r="BB34" s="41">
        <v>523</v>
      </c>
      <c r="BC34" s="41">
        <v>1088</v>
      </c>
      <c r="BD34" s="41">
        <v>1064</v>
      </c>
      <c r="BE34" s="41">
        <f t="shared" si="11"/>
        <v>565</v>
      </c>
      <c r="BF34" s="41">
        <f t="shared" si="12"/>
        <v>8917.1892558670243</v>
      </c>
      <c r="BG34" s="77">
        <f t="shared" si="13"/>
        <v>44.333333333333336</v>
      </c>
      <c r="BH34" s="43">
        <v>1</v>
      </c>
      <c r="BI34" s="44">
        <v>2.444</v>
      </c>
      <c r="BJ34" s="45">
        <v>27.9</v>
      </c>
      <c r="BK34" s="45">
        <v>14.26</v>
      </c>
      <c r="BL34" s="46">
        <v>22.76</v>
      </c>
      <c r="BM34" s="45">
        <v>27.72</v>
      </c>
      <c r="BN34" s="47">
        <v>987.42</v>
      </c>
      <c r="BO34" s="45">
        <v>50</v>
      </c>
      <c r="BP34" s="48">
        <v>0.93740000000000001</v>
      </c>
      <c r="BQ34" s="52">
        <v>95.5</v>
      </c>
      <c r="BR34" s="45">
        <v>86.55</v>
      </c>
      <c r="BS34" s="49">
        <f t="shared" si="14"/>
        <v>-8.9500000000000028</v>
      </c>
      <c r="BT34" s="41">
        <v>12365</v>
      </c>
      <c r="BU34" s="41">
        <v>12001</v>
      </c>
      <c r="BV34" s="51">
        <f t="shared" si="15"/>
        <v>-364</v>
      </c>
      <c r="BW34" s="41">
        <f t="shared" si="16"/>
        <v>3.444</v>
      </c>
      <c r="BX34" s="42">
        <v>11.37</v>
      </c>
      <c r="BY34" s="42">
        <v>24</v>
      </c>
      <c r="CA34" s="42">
        <v>10.38</v>
      </c>
      <c r="CB34" s="42">
        <v>6.92</v>
      </c>
      <c r="CD34" s="42">
        <v>2.1</v>
      </c>
      <c r="CE34" s="42">
        <v>3.6</v>
      </c>
      <c r="CF34" s="42">
        <v>1.8</v>
      </c>
      <c r="CG34" s="42">
        <v>1.2</v>
      </c>
    </row>
    <row r="35" spans="1:85">
      <c r="A35" s="452"/>
      <c r="B35" s="24">
        <v>43187</v>
      </c>
      <c r="C35" s="242">
        <v>82.03</v>
      </c>
      <c r="D35" s="26">
        <v>0.56679999999999997</v>
      </c>
      <c r="E35" s="242">
        <v>66.290000000000006</v>
      </c>
      <c r="F35" s="242">
        <v>96</v>
      </c>
      <c r="G35" s="242">
        <v>68</v>
      </c>
      <c r="H35" s="242">
        <v>24</v>
      </c>
      <c r="I35" s="242">
        <v>0</v>
      </c>
      <c r="J35" s="242">
        <v>24</v>
      </c>
      <c r="K35" s="242">
        <v>0</v>
      </c>
      <c r="L35" s="242">
        <v>0</v>
      </c>
      <c r="M35" s="242">
        <v>0</v>
      </c>
      <c r="N35" s="242">
        <v>0</v>
      </c>
      <c r="O35" s="242">
        <v>0</v>
      </c>
      <c r="P35" s="242">
        <v>24</v>
      </c>
      <c r="Q35" s="242">
        <v>0</v>
      </c>
      <c r="R35" s="267">
        <v>3575</v>
      </c>
      <c r="S35" s="267">
        <v>3502</v>
      </c>
      <c r="T35" s="267">
        <v>3502</v>
      </c>
      <c r="U35" s="267">
        <v>3432</v>
      </c>
      <c r="V35" s="267">
        <v>3543</v>
      </c>
      <c r="W35" s="266">
        <v>44</v>
      </c>
      <c r="X35" s="266">
        <v>0</v>
      </c>
      <c r="Y35" s="270">
        <v>45</v>
      </c>
      <c r="Z35" s="28">
        <v>0</v>
      </c>
      <c r="AA35" s="28">
        <v>58</v>
      </c>
      <c r="AB35" s="27">
        <v>0</v>
      </c>
      <c r="AC35" s="221">
        <f t="shared" si="0"/>
        <v>111</v>
      </c>
      <c r="AD35" s="222">
        <f t="shared" si="1"/>
        <v>-70</v>
      </c>
      <c r="AE35" s="223">
        <v>150</v>
      </c>
      <c r="AF35" s="224">
        <f t="shared" si="2"/>
        <v>0.98416666666666663</v>
      </c>
      <c r="AG35" s="225">
        <f t="shared" si="3"/>
        <v>148.95833333333334</v>
      </c>
      <c r="AH35" s="224">
        <f t="shared" si="4"/>
        <v>0.96</v>
      </c>
      <c r="AI35" s="226">
        <f t="shared" si="17"/>
        <v>1</v>
      </c>
      <c r="AJ35" s="227">
        <f t="shared" si="6"/>
        <v>1</v>
      </c>
      <c r="AK35" s="235">
        <v>9.548</v>
      </c>
      <c r="AL35" s="239">
        <v>137.28</v>
      </c>
      <c r="AM35" s="38">
        <f t="shared" si="7"/>
        <v>1310.74944</v>
      </c>
      <c r="AN35" s="235">
        <v>29.71</v>
      </c>
      <c r="AO35" s="318">
        <v>965.45781704282092</v>
      </c>
      <c r="AP35" s="39">
        <f t="shared" si="8"/>
        <v>28683.751744342211</v>
      </c>
      <c r="AQ35" s="228">
        <f t="shared" si="9"/>
        <v>8739.656522244235</v>
      </c>
      <c r="AR35" s="229">
        <f t="shared" si="10"/>
        <v>145.91666666666666</v>
      </c>
      <c r="AS35" s="13"/>
      <c r="AT35" s="27">
        <v>0</v>
      </c>
      <c r="AU35" s="40">
        <v>0</v>
      </c>
      <c r="AV35" s="40">
        <v>0</v>
      </c>
      <c r="AW35" s="27">
        <v>0</v>
      </c>
      <c r="AX35" s="40">
        <v>0</v>
      </c>
      <c r="AY35" s="27">
        <v>0</v>
      </c>
      <c r="AZ35" s="27">
        <v>0</v>
      </c>
      <c r="BA35" s="4"/>
      <c r="BB35" s="41">
        <v>1063</v>
      </c>
      <c r="BC35" s="41">
        <v>1081</v>
      </c>
      <c r="BD35" s="41">
        <v>1399</v>
      </c>
      <c r="BE35" s="41">
        <f t="shared" si="11"/>
        <v>18</v>
      </c>
      <c r="BF35" s="41">
        <f t="shared" si="12"/>
        <v>8739.656522244235</v>
      </c>
      <c r="BG35" s="77">
        <f t="shared" si="13"/>
        <v>58.291666666666664</v>
      </c>
      <c r="BH35" s="43">
        <v>2.0289999999999999</v>
      </c>
      <c r="BI35" s="44">
        <v>2.0630000000000002</v>
      </c>
      <c r="BJ35" s="45">
        <v>28.93</v>
      </c>
      <c r="BK35" s="46">
        <v>27.81</v>
      </c>
      <c r="BL35" s="45">
        <v>22.33</v>
      </c>
      <c r="BM35" s="45">
        <v>28.15</v>
      </c>
      <c r="BN35" s="47">
        <v>989.4</v>
      </c>
      <c r="BO35" s="45">
        <v>50.07</v>
      </c>
      <c r="BP35" s="48">
        <v>0.93679999999999997</v>
      </c>
      <c r="BQ35" s="46">
        <v>96.63</v>
      </c>
      <c r="BR35" s="45">
        <v>86.63</v>
      </c>
      <c r="BS35" s="49">
        <f t="shared" si="14"/>
        <v>-10</v>
      </c>
      <c r="BT35" s="41">
        <v>12289</v>
      </c>
      <c r="BU35" s="41">
        <v>11929</v>
      </c>
      <c r="BV35" s="51">
        <f t="shared" si="15"/>
        <v>-360</v>
      </c>
      <c r="BW35" s="41">
        <f t="shared" si="16"/>
        <v>4.0920000000000005</v>
      </c>
      <c r="BX35" s="42">
        <v>24</v>
      </c>
      <c r="BY35" s="42">
        <v>24</v>
      </c>
      <c r="CA35" s="42">
        <v>24</v>
      </c>
      <c r="CB35" s="42">
        <v>7.25</v>
      </c>
      <c r="CD35" s="42">
        <v>2</v>
      </c>
      <c r="CE35" s="42">
        <v>4</v>
      </c>
      <c r="CF35" s="42">
        <v>1.8</v>
      </c>
      <c r="CG35" s="42">
        <v>1.3</v>
      </c>
    </row>
    <row r="36" spans="1:85">
      <c r="A36" s="452"/>
      <c r="B36" s="24">
        <v>43188</v>
      </c>
      <c r="C36" s="25">
        <v>83.88</v>
      </c>
      <c r="D36" s="36">
        <v>0.48859999999999998</v>
      </c>
      <c r="E36" s="38">
        <v>64.45</v>
      </c>
      <c r="F36" s="242">
        <v>98</v>
      </c>
      <c r="G36" s="27">
        <v>70</v>
      </c>
      <c r="H36" s="27">
        <v>24</v>
      </c>
      <c r="I36" s="27">
        <v>0</v>
      </c>
      <c r="J36" s="27">
        <v>24</v>
      </c>
      <c r="K36" s="27">
        <v>0</v>
      </c>
      <c r="L36" s="29">
        <v>0</v>
      </c>
      <c r="M36" s="29">
        <v>0</v>
      </c>
      <c r="N36" s="29">
        <v>0</v>
      </c>
      <c r="O36" s="29">
        <v>0</v>
      </c>
      <c r="P36" s="29">
        <v>24</v>
      </c>
      <c r="Q36" s="29">
        <v>0</v>
      </c>
      <c r="R36" s="267">
        <v>3556</v>
      </c>
      <c r="S36" s="267">
        <v>3519</v>
      </c>
      <c r="T36" s="267">
        <v>3519</v>
      </c>
      <c r="U36" s="267">
        <v>3448</v>
      </c>
      <c r="V36" s="267">
        <v>3557</v>
      </c>
      <c r="W36" s="27">
        <v>44</v>
      </c>
      <c r="X36" s="27">
        <v>0</v>
      </c>
      <c r="Y36" s="28">
        <v>45</v>
      </c>
      <c r="Z36" s="28">
        <v>0</v>
      </c>
      <c r="AA36" s="28">
        <v>58</v>
      </c>
      <c r="AB36" s="27">
        <v>0</v>
      </c>
      <c r="AC36" s="221">
        <f t="shared" si="0"/>
        <v>109</v>
      </c>
      <c r="AD36" s="222">
        <f t="shared" si="1"/>
        <v>-71</v>
      </c>
      <c r="AE36" s="223">
        <v>152</v>
      </c>
      <c r="AF36" s="224">
        <f t="shared" si="2"/>
        <v>0.97505482456140347</v>
      </c>
      <c r="AG36" s="225">
        <f t="shared" si="3"/>
        <v>148.16666666666666</v>
      </c>
      <c r="AH36" s="224">
        <f t="shared" si="4"/>
        <v>0.96962879640044997</v>
      </c>
      <c r="AI36" s="226">
        <f t="shared" si="17"/>
        <v>1</v>
      </c>
      <c r="AJ36" s="227">
        <f t="shared" si="6"/>
        <v>1</v>
      </c>
      <c r="AK36" s="235">
        <v>9.5760000000000005</v>
      </c>
      <c r="AL36" s="239">
        <v>134.63999999999999</v>
      </c>
      <c r="AM36" s="38">
        <f t="shared" si="7"/>
        <v>1289.3126399999999</v>
      </c>
      <c r="AN36" s="235">
        <v>29.838999999999999</v>
      </c>
      <c r="AO36" s="318">
        <v>969.83350720666715</v>
      </c>
      <c r="AP36" s="39">
        <f t="shared" si="8"/>
        <v>28938.862021539739</v>
      </c>
      <c r="AQ36" s="201">
        <f t="shared" si="9"/>
        <v>8766.8720016066527</v>
      </c>
      <c r="AR36" s="198">
        <f t="shared" si="10"/>
        <v>146.625</v>
      </c>
      <c r="AS36" s="13"/>
      <c r="AT36" s="27">
        <v>0</v>
      </c>
      <c r="AU36" s="40">
        <v>0</v>
      </c>
      <c r="AV36" s="40">
        <v>0</v>
      </c>
      <c r="AW36" s="27">
        <v>0</v>
      </c>
      <c r="AX36" s="40">
        <v>0</v>
      </c>
      <c r="AY36" s="27">
        <v>0</v>
      </c>
      <c r="AZ36" s="27">
        <v>0</v>
      </c>
      <c r="BA36" s="4"/>
      <c r="BB36" s="41">
        <v>1067</v>
      </c>
      <c r="BC36" s="41">
        <v>1089</v>
      </c>
      <c r="BD36" s="41">
        <v>1401</v>
      </c>
      <c r="BE36" s="41">
        <f t="shared" si="11"/>
        <v>22</v>
      </c>
      <c r="BF36" s="41">
        <f t="shared" si="12"/>
        <v>8766.8720016066527</v>
      </c>
      <c r="BG36" s="77">
        <f t="shared" si="13"/>
        <v>58.375</v>
      </c>
      <c r="BH36" s="43">
        <v>2.0510000000000002</v>
      </c>
      <c r="BI36" s="44">
        <v>2.0510000000000002</v>
      </c>
      <c r="BJ36" s="45">
        <v>28.86</v>
      </c>
      <c r="BK36" s="46">
        <v>27.83</v>
      </c>
      <c r="BL36" s="45">
        <v>22.43</v>
      </c>
      <c r="BM36" s="45">
        <v>27.99</v>
      </c>
      <c r="BN36" s="47">
        <v>988.5</v>
      </c>
      <c r="BO36" s="45">
        <v>50.14</v>
      </c>
      <c r="BP36" s="53">
        <v>0.93799999999999994</v>
      </c>
      <c r="BQ36" s="45">
        <v>96.45</v>
      </c>
      <c r="BR36" s="45">
        <v>86.43</v>
      </c>
      <c r="BS36" s="49">
        <f t="shared" si="14"/>
        <v>-10.019999999999996</v>
      </c>
      <c r="BT36" s="41">
        <v>12253</v>
      </c>
      <c r="BU36" s="41">
        <v>11869</v>
      </c>
      <c r="BV36" s="51">
        <f t="shared" si="15"/>
        <v>-384</v>
      </c>
      <c r="BW36" s="41">
        <f t="shared" si="16"/>
        <v>4.1020000000000003</v>
      </c>
      <c r="BX36" s="42">
        <v>24</v>
      </c>
      <c r="BY36" s="42">
        <v>24</v>
      </c>
      <c r="CA36" s="42">
        <v>24</v>
      </c>
      <c r="CB36" s="42">
        <v>8.9499999999999993</v>
      </c>
      <c r="CD36" s="42">
        <v>2.2000000000000002</v>
      </c>
      <c r="CE36" s="42">
        <v>4.2</v>
      </c>
      <c r="CF36" s="42">
        <v>1.8</v>
      </c>
      <c r="CG36" s="42">
        <v>1.5</v>
      </c>
    </row>
    <row r="37" spans="1:85">
      <c r="A37" s="452"/>
      <c r="B37" s="24">
        <v>43189</v>
      </c>
      <c r="C37" s="25">
        <v>85.96</v>
      </c>
      <c r="D37" s="26">
        <v>0.41870000000000002</v>
      </c>
      <c r="E37" s="38">
        <v>63.13</v>
      </c>
      <c r="F37" s="242">
        <v>103</v>
      </c>
      <c r="G37" s="27">
        <v>72</v>
      </c>
      <c r="H37" s="28">
        <v>24</v>
      </c>
      <c r="I37" s="28">
        <v>0</v>
      </c>
      <c r="J37" s="28">
        <v>24</v>
      </c>
      <c r="K37" s="28">
        <v>0</v>
      </c>
      <c r="L37" s="29">
        <v>0</v>
      </c>
      <c r="M37" s="29">
        <v>0</v>
      </c>
      <c r="N37" s="29">
        <v>0</v>
      </c>
      <c r="O37" s="29">
        <v>0</v>
      </c>
      <c r="P37" s="29">
        <v>23</v>
      </c>
      <c r="Q37" s="29">
        <v>0</v>
      </c>
      <c r="R37" s="267">
        <v>3537</v>
      </c>
      <c r="S37" s="267">
        <v>3491</v>
      </c>
      <c r="T37" s="267">
        <v>3491</v>
      </c>
      <c r="U37" s="267">
        <v>3416</v>
      </c>
      <c r="V37" s="267">
        <v>3527</v>
      </c>
      <c r="W37" s="28">
        <v>44</v>
      </c>
      <c r="X37" s="28">
        <v>0</v>
      </c>
      <c r="Y37" s="28">
        <v>45</v>
      </c>
      <c r="Z37" s="28">
        <v>0</v>
      </c>
      <c r="AA37" s="28">
        <v>58</v>
      </c>
      <c r="AB37" s="27">
        <v>0</v>
      </c>
      <c r="AC37" s="221">
        <f t="shared" si="0"/>
        <v>111</v>
      </c>
      <c r="AD37" s="222">
        <f t="shared" si="1"/>
        <v>-75</v>
      </c>
      <c r="AE37" s="223">
        <v>153</v>
      </c>
      <c r="AF37" s="224">
        <f t="shared" si="2"/>
        <v>0.96051198257080606</v>
      </c>
      <c r="AG37" s="225">
        <f t="shared" si="3"/>
        <v>147.375</v>
      </c>
      <c r="AH37" s="224">
        <f t="shared" si="4"/>
        <v>0.96579021769861462</v>
      </c>
      <c r="AI37" s="226">
        <f t="shared" si="17"/>
        <v>1</v>
      </c>
      <c r="AJ37" s="227">
        <f t="shared" si="6"/>
        <v>0.99631519274376423</v>
      </c>
      <c r="AK37" s="235">
        <v>9.5920000000000005</v>
      </c>
      <c r="AL37" s="239">
        <v>136.52000000000001</v>
      </c>
      <c r="AM37" s="38">
        <f t="shared" si="7"/>
        <v>1309.4998400000002</v>
      </c>
      <c r="AN37" s="235">
        <v>29.238</v>
      </c>
      <c r="AO37" s="318">
        <v>969.65467425613326</v>
      </c>
      <c r="AP37" s="39">
        <f t="shared" si="8"/>
        <v>28350.763365900824</v>
      </c>
      <c r="AQ37" s="201">
        <f t="shared" si="9"/>
        <v>8682.7468401349033</v>
      </c>
      <c r="AR37" s="198">
        <f t="shared" si="10"/>
        <v>145.45833333333334</v>
      </c>
      <c r="AS37" s="13"/>
      <c r="AT37" s="27">
        <v>0</v>
      </c>
      <c r="AU37" s="40">
        <v>0</v>
      </c>
      <c r="AV37" s="40">
        <v>0</v>
      </c>
      <c r="AW37" s="27">
        <v>0</v>
      </c>
      <c r="AX37" s="40">
        <v>13</v>
      </c>
      <c r="AY37" s="27">
        <v>60</v>
      </c>
      <c r="AZ37" s="27">
        <v>0</v>
      </c>
      <c r="BA37" s="4"/>
      <c r="BB37" s="41">
        <v>1068</v>
      </c>
      <c r="BC37" s="41">
        <v>1088</v>
      </c>
      <c r="BD37" s="41">
        <v>1371</v>
      </c>
      <c r="BE37" s="41">
        <f t="shared" si="11"/>
        <v>20</v>
      </c>
      <c r="BF37" s="41">
        <f t="shared" si="12"/>
        <v>8682.7468401349033</v>
      </c>
      <c r="BG37" s="77">
        <f t="shared" si="13"/>
        <v>57.125</v>
      </c>
      <c r="BH37" s="43">
        <v>1.863</v>
      </c>
      <c r="BI37" s="44">
        <v>1.863</v>
      </c>
      <c r="BJ37" s="45">
        <v>28.74</v>
      </c>
      <c r="BK37" s="46">
        <v>27.66</v>
      </c>
      <c r="BL37" s="47">
        <v>22.27</v>
      </c>
      <c r="BM37" s="47">
        <v>27.99</v>
      </c>
      <c r="BN37" s="47">
        <v>985.67</v>
      </c>
      <c r="BO37" s="45">
        <v>50.1</v>
      </c>
      <c r="BP37" s="48">
        <v>0.9375</v>
      </c>
      <c r="BQ37" s="42">
        <v>96.16</v>
      </c>
      <c r="BR37" s="42">
        <v>86.43</v>
      </c>
      <c r="BS37" s="49">
        <f t="shared" si="14"/>
        <v>-9.7299999999999898</v>
      </c>
      <c r="BT37" s="41">
        <v>12168</v>
      </c>
      <c r="BU37" s="41">
        <v>11811</v>
      </c>
      <c r="BV37" s="51">
        <f t="shared" si="15"/>
        <v>-357</v>
      </c>
      <c r="BW37" s="41">
        <f t="shared" si="16"/>
        <v>3.726</v>
      </c>
      <c r="BX37" s="42">
        <v>23</v>
      </c>
      <c r="BY37" s="42">
        <v>23</v>
      </c>
      <c r="CA37" s="42">
        <v>24</v>
      </c>
      <c r="CB37" s="42">
        <v>7.77</v>
      </c>
      <c r="CD37" s="42">
        <v>2.1</v>
      </c>
      <c r="CE37" s="42">
        <v>4.2</v>
      </c>
      <c r="CF37" s="42">
        <v>1.8</v>
      </c>
      <c r="CG37" s="42">
        <v>1.5</v>
      </c>
    </row>
    <row r="38" spans="1:85">
      <c r="A38" s="452"/>
      <c r="B38" s="24">
        <v>43190</v>
      </c>
      <c r="C38" s="25">
        <v>85</v>
      </c>
      <c r="D38" s="26">
        <v>0.44</v>
      </c>
      <c r="E38" s="38">
        <v>63</v>
      </c>
      <c r="F38" s="242">
        <v>101</v>
      </c>
      <c r="G38" s="27">
        <v>70</v>
      </c>
      <c r="H38" s="28">
        <v>24</v>
      </c>
      <c r="I38" s="28">
        <v>0</v>
      </c>
      <c r="J38" s="28">
        <v>24</v>
      </c>
      <c r="K38" s="28">
        <v>0</v>
      </c>
      <c r="L38" s="29">
        <v>0</v>
      </c>
      <c r="M38" s="29">
        <v>0</v>
      </c>
      <c r="N38" s="29">
        <v>0</v>
      </c>
      <c r="O38" s="29">
        <v>0</v>
      </c>
      <c r="P38" s="29">
        <v>13</v>
      </c>
      <c r="Q38" s="29">
        <v>0</v>
      </c>
      <c r="R38" s="267">
        <v>3540</v>
      </c>
      <c r="S38" s="267">
        <v>3359</v>
      </c>
      <c r="T38" s="267">
        <v>3359</v>
      </c>
      <c r="U38" s="267">
        <v>3305</v>
      </c>
      <c r="V38" s="267">
        <v>3407</v>
      </c>
      <c r="W38" s="28">
        <v>44</v>
      </c>
      <c r="X38" s="28">
        <v>0</v>
      </c>
      <c r="Y38" s="28">
        <v>45</v>
      </c>
      <c r="Z38" s="28">
        <v>0</v>
      </c>
      <c r="AA38" s="28">
        <v>58</v>
      </c>
      <c r="AB38" s="27">
        <v>0</v>
      </c>
      <c r="AC38" s="32">
        <f t="shared" si="0"/>
        <v>102</v>
      </c>
      <c r="AD38" s="33">
        <f t="shared" si="1"/>
        <v>-54</v>
      </c>
      <c r="AE38" s="27">
        <v>152</v>
      </c>
      <c r="AF38" s="34">
        <f t="shared" si="2"/>
        <v>0.93393640350877194</v>
      </c>
      <c r="AG38" s="35">
        <f t="shared" si="3"/>
        <v>147.5</v>
      </c>
      <c r="AH38" s="34">
        <f t="shared" si="4"/>
        <v>0.93361581920903958</v>
      </c>
      <c r="AI38" s="226">
        <f t="shared" si="17"/>
        <v>1</v>
      </c>
      <c r="AJ38" s="37">
        <f t="shared" si="6"/>
        <v>0.95323129251700689</v>
      </c>
      <c r="AK38" s="235">
        <v>9.6199999999999992</v>
      </c>
      <c r="AL38" s="239">
        <v>138.31</v>
      </c>
      <c r="AM38" s="38">
        <f t="shared" si="7"/>
        <v>1330.5421999999999</v>
      </c>
      <c r="AN38" s="235">
        <v>28.209</v>
      </c>
      <c r="AO38" s="318">
        <v>968.11987632640353</v>
      </c>
      <c r="AP38" s="39">
        <f t="shared" si="8"/>
        <v>27309.693591291518</v>
      </c>
      <c r="AQ38" s="201">
        <f t="shared" si="9"/>
        <v>8665.7294376071168</v>
      </c>
      <c r="AR38" s="198">
        <f t="shared" si="10"/>
        <v>139.95833333333334</v>
      </c>
      <c r="AS38" s="13"/>
      <c r="AT38" s="27">
        <v>0</v>
      </c>
      <c r="AU38" s="40">
        <v>0</v>
      </c>
      <c r="AV38" s="40">
        <v>0</v>
      </c>
      <c r="AW38" s="27">
        <v>0</v>
      </c>
      <c r="AX38" s="40">
        <v>15</v>
      </c>
      <c r="AY38" s="27">
        <v>660</v>
      </c>
      <c r="AZ38" s="27">
        <v>0</v>
      </c>
      <c r="BA38" s="4"/>
      <c r="BB38" s="41">
        <v>1069</v>
      </c>
      <c r="BC38" s="41">
        <v>1086</v>
      </c>
      <c r="BD38" s="41">
        <v>1252</v>
      </c>
      <c r="BE38" s="41">
        <f t="shared" si="11"/>
        <v>17</v>
      </c>
      <c r="BF38" s="41">
        <f t="shared" si="12"/>
        <v>8665.7294376071168</v>
      </c>
      <c r="BG38" s="77">
        <f t="shared" si="13"/>
        <v>52.166666666666664</v>
      </c>
      <c r="BH38" s="43">
        <v>1.2589999999999999</v>
      </c>
      <c r="BI38" s="44">
        <v>1.2549999999999999</v>
      </c>
      <c r="BJ38" s="45">
        <v>28.8</v>
      </c>
      <c r="BK38" s="46">
        <v>27.88</v>
      </c>
      <c r="BL38" s="47">
        <v>22.44</v>
      </c>
      <c r="BM38" s="47">
        <v>27.8</v>
      </c>
      <c r="BN38" s="47">
        <v>986.2</v>
      </c>
      <c r="BO38" s="45">
        <v>50.08</v>
      </c>
      <c r="BP38" s="48">
        <v>0.93700000000000006</v>
      </c>
      <c r="BQ38" s="42">
        <v>96.25</v>
      </c>
      <c r="BR38" s="42">
        <v>86.52</v>
      </c>
      <c r="BS38" s="49">
        <f t="shared" si="14"/>
        <v>-9.730000000000004</v>
      </c>
      <c r="BT38" s="41">
        <v>12254</v>
      </c>
      <c r="BU38" s="41">
        <v>11901</v>
      </c>
      <c r="BV38" s="51">
        <f t="shared" si="15"/>
        <v>-353</v>
      </c>
      <c r="BW38" s="41">
        <f t="shared" si="16"/>
        <v>2.5139999999999998</v>
      </c>
      <c r="BX38" s="41">
        <v>13</v>
      </c>
      <c r="BY38" s="41">
        <v>13</v>
      </c>
      <c r="CA38" s="41">
        <v>24</v>
      </c>
      <c r="CB38" s="41">
        <v>7.2</v>
      </c>
      <c r="CD38" s="41">
        <v>2.1</v>
      </c>
      <c r="CE38" s="41">
        <v>4.2</v>
      </c>
      <c r="CF38" s="41">
        <v>1.8</v>
      </c>
      <c r="CG38" s="41">
        <v>1.3</v>
      </c>
    </row>
    <row r="39" spans="1:85">
      <c r="A39" s="453"/>
      <c r="B39" s="24">
        <v>43191</v>
      </c>
      <c r="C39" s="25"/>
      <c r="D39" s="26"/>
      <c r="E39" s="38"/>
      <c r="F39" s="27"/>
      <c r="G39" s="27"/>
      <c r="H39" s="28"/>
      <c r="I39" s="28"/>
      <c r="J39" s="28"/>
      <c r="K39" s="28"/>
      <c r="L39" s="29"/>
      <c r="M39" s="29"/>
      <c r="N39" s="29"/>
      <c r="O39" s="29"/>
      <c r="P39" s="29"/>
      <c r="Q39" s="29"/>
      <c r="R39" s="261"/>
      <c r="S39" s="264"/>
      <c r="T39" s="264"/>
      <c r="U39" s="265"/>
      <c r="V39" s="265"/>
      <c r="W39" s="28"/>
      <c r="X39" s="28"/>
      <c r="Y39" s="28"/>
      <c r="Z39" s="28"/>
      <c r="AA39" s="28"/>
      <c r="AB39" s="27"/>
      <c r="AC39" s="32">
        <f t="shared" si="0"/>
        <v>0</v>
      </c>
      <c r="AD39" s="33">
        <f t="shared" si="1"/>
        <v>0</v>
      </c>
      <c r="AE39" s="27"/>
      <c r="AF39" s="34" t="str">
        <f t="shared" si="2"/>
        <v>no data</v>
      </c>
      <c r="AG39" s="35" t="str">
        <f t="shared" si="3"/>
        <v>no data</v>
      </c>
      <c r="AH39" s="34" t="str">
        <f t="shared" si="4"/>
        <v>no data</v>
      </c>
      <c r="AI39" s="226" t="str">
        <f t="shared" si="17"/>
        <v>no data</v>
      </c>
      <c r="AJ39" s="37" t="str">
        <f t="shared" si="6"/>
        <v>no data</v>
      </c>
      <c r="AK39" s="271"/>
      <c r="AL39" s="272"/>
      <c r="AM39" s="38">
        <f t="shared" si="7"/>
        <v>0</v>
      </c>
      <c r="AN39" s="44"/>
      <c r="AO39" s="27"/>
      <c r="AP39" s="39">
        <f t="shared" si="8"/>
        <v>0</v>
      </c>
      <c r="AQ39" s="201" t="str">
        <f t="shared" si="9"/>
        <v>no data</v>
      </c>
      <c r="AR39" s="198"/>
      <c r="AS39" s="13"/>
      <c r="AT39" s="27"/>
      <c r="AU39" s="40"/>
      <c r="AV39" s="40"/>
      <c r="AW39" s="27"/>
      <c r="AX39" s="40"/>
      <c r="AY39" s="27"/>
      <c r="AZ39" s="27"/>
      <c r="BA39" s="4"/>
      <c r="BB39" s="41"/>
      <c r="BC39" s="41"/>
      <c r="BD39" s="41"/>
      <c r="BE39" s="41">
        <f t="shared" si="11"/>
        <v>0</v>
      </c>
      <c r="BF39" s="41" t="str">
        <f t="shared" si="12"/>
        <v>no data</v>
      </c>
      <c r="BG39" s="77">
        <f t="shared" si="13"/>
        <v>0</v>
      </c>
      <c r="BH39" s="43"/>
      <c r="BI39" s="44"/>
      <c r="BJ39" s="45"/>
      <c r="BK39" s="46"/>
      <c r="BL39" s="47"/>
      <c r="BM39" s="47"/>
      <c r="BN39" s="47"/>
      <c r="BO39" s="45"/>
      <c r="BP39" s="48"/>
      <c r="BQ39" s="42"/>
      <c r="BR39" s="42"/>
      <c r="BS39" s="49">
        <f t="shared" si="14"/>
        <v>0</v>
      </c>
      <c r="BT39" s="41"/>
      <c r="BU39" s="41"/>
      <c r="BV39" s="51">
        <f t="shared" si="15"/>
        <v>0</v>
      </c>
      <c r="BW39" s="41">
        <f t="shared" si="16"/>
        <v>0</v>
      </c>
      <c r="BX39" s="78"/>
      <c r="BY39" s="78"/>
      <c r="CA39" s="78"/>
      <c r="CB39" s="78"/>
      <c r="CD39" s="78"/>
      <c r="CE39" s="78"/>
      <c r="CF39" s="78"/>
      <c r="CG39" s="78"/>
    </row>
    <row r="40" spans="1:85">
      <c r="A40" s="79"/>
      <c r="B40" s="80" t="s">
        <v>83</v>
      </c>
      <c r="C40" s="81">
        <f>AVERAGE(C8:C38)</f>
        <v>75.619032258064536</v>
      </c>
      <c r="D40" s="82">
        <f>AVERAGE(D8:D35)</f>
        <v>0.60925714285714305</v>
      </c>
      <c r="E40" s="81">
        <f>AVERAGE(E8:E35)</f>
        <v>61.880714285714291</v>
      </c>
      <c r="F40" s="81">
        <f>AVERAGE(F8:F35)</f>
        <v>87.321428571428569</v>
      </c>
      <c r="G40" s="81">
        <f>AVERAGE(G8:G35)</f>
        <v>63.607142857142854</v>
      </c>
      <c r="H40" s="81">
        <f>SUM(H8:H35)+(INT(SUM(I8:I35)/60))</f>
        <v>659</v>
      </c>
      <c r="I40" s="81">
        <f>SUM(I8:I35)-(INT(SUM(I8:I35)/60)*60)</f>
        <v>8</v>
      </c>
      <c r="J40" s="81">
        <f>SUM(J8:J35)+(INT(SUM(K8:K35)/60))</f>
        <v>660</v>
      </c>
      <c r="K40" s="81">
        <f t="shared" ref="K40:Q40" si="18">SUM(K8:K35)-(INT(SUM(K8:K35)/60)*60)</f>
        <v>10</v>
      </c>
      <c r="L40" s="81">
        <f t="shared" si="18"/>
        <v>0</v>
      </c>
      <c r="M40" s="81">
        <f t="shared" si="18"/>
        <v>0</v>
      </c>
      <c r="N40" s="81">
        <f t="shared" si="18"/>
        <v>0</v>
      </c>
      <c r="O40" s="81">
        <f t="shared" si="18"/>
        <v>0</v>
      </c>
      <c r="P40" s="81">
        <f t="shared" si="18"/>
        <v>9</v>
      </c>
      <c r="Q40" s="81">
        <f t="shared" si="18"/>
        <v>15</v>
      </c>
      <c r="R40" s="83">
        <f>SUM(R8:R38)</f>
        <v>112645</v>
      </c>
      <c r="S40" s="83">
        <f>SUM(S8:S35)</f>
        <v>96863</v>
      </c>
      <c r="T40" s="83">
        <f>SUM(T8:T35)</f>
        <v>96839</v>
      </c>
      <c r="U40" s="196">
        <v>105205.75999999999</v>
      </c>
      <c r="V40" s="83">
        <f>SUM(V8:V35)</f>
        <v>97771</v>
      </c>
      <c r="W40" s="85">
        <f>AVERAGE(W8:W35)</f>
        <v>44.5</v>
      </c>
      <c r="X40" s="85">
        <f>SUM(X8:X35)</f>
        <v>744</v>
      </c>
      <c r="Y40" s="85">
        <f>AVERAGE(Y8:Y35)</f>
        <v>45.964285714285715</v>
      </c>
      <c r="Z40" s="85">
        <f>SUM(Z8:Z35)</f>
        <v>643</v>
      </c>
      <c r="AA40" s="85">
        <f>AVERAGE(AA8:AA35)</f>
        <v>59.785714285714285</v>
      </c>
      <c r="AB40" s="85">
        <f>SUM(AB8:AB35)</f>
        <v>0</v>
      </c>
      <c r="AC40" s="86">
        <f>V40-U40+AZ40</f>
        <v>-7434.7599999999948</v>
      </c>
      <c r="AD40" s="87">
        <f>(SUM($AD$8:$AD$35))</f>
        <v>-2017</v>
      </c>
      <c r="AE40" s="87">
        <f>AVERAGE(AE8:AE35)</f>
        <v>151.71428571428572</v>
      </c>
      <c r="AF40" s="88">
        <f>AVERAGE(AF8:AF38)</f>
        <v>0.95889324410461441</v>
      </c>
      <c r="AG40" s="90">
        <f>AVERAGE(AG8:AG38)</f>
        <v>151.40456989247312</v>
      </c>
      <c r="AH40" s="88">
        <f>U40/R40</f>
        <v>0.93395854232322784</v>
      </c>
      <c r="AI40" s="88">
        <f>AVERAGE(AI8:AI38)</f>
        <v>0.99063579193514584</v>
      </c>
      <c r="AJ40" s="88">
        <f>AVERAGE(AJ8:AJ38)</f>
        <v>0.96927453306010358</v>
      </c>
      <c r="AK40" s="89">
        <f>SUM(AK8:AK38)</f>
        <v>296.39299999999997</v>
      </c>
      <c r="AL40" s="89">
        <f>AVERAGE(AL8:AL38)</f>
        <v>136.10516129032257</v>
      </c>
      <c r="AM40" s="89">
        <f>SUM(AM8:AM38)</f>
        <v>40262.56031999999</v>
      </c>
      <c r="AN40" s="89">
        <f>SUM(AN8:AN38)</f>
        <v>907.50563</v>
      </c>
      <c r="AO40" s="87">
        <f>AVERAGE(AO8:AO38)</f>
        <v>964.62718555656056</v>
      </c>
      <c r="AP40" s="90">
        <f>SUM(AP8:AP38)</f>
        <v>875424.25853372051</v>
      </c>
      <c r="AQ40" s="91">
        <f>((AM40+AP40))/(U40*1000)*1000000</f>
        <v>8703.7707712364863</v>
      </c>
      <c r="AR40" s="92"/>
      <c r="AS40" s="13"/>
      <c r="AT40" s="93">
        <f>SUM(AT8:AT35)</f>
        <v>20</v>
      </c>
      <c r="AU40" s="93">
        <f t="shared" ref="AU40:AZ40" si="19">SUM(AU8:AU35)</f>
        <v>76</v>
      </c>
      <c r="AV40" s="93">
        <f t="shared" si="19"/>
        <v>23</v>
      </c>
      <c r="AW40" s="93">
        <f t="shared" si="19"/>
        <v>67</v>
      </c>
      <c r="AX40" s="93">
        <f t="shared" si="19"/>
        <v>168</v>
      </c>
      <c r="AY40" s="93">
        <f t="shared" si="19"/>
        <v>7245</v>
      </c>
      <c r="AZ40" s="93">
        <f t="shared" si="19"/>
        <v>0</v>
      </c>
      <c r="BA40" s="4"/>
      <c r="BB40" s="94">
        <f>SUM(BB8:BB35)</f>
        <v>29376</v>
      </c>
      <c r="BC40" s="94">
        <f>SUM(BC8:BC35)</f>
        <v>30422</v>
      </c>
      <c r="BD40" s="94">
        <f>SUM(BD8:BD35)</f>
        <v>37973</v>
      </c>
      <c r="BE40" s="6">
        <f>(BC40-BB40)</f>
        <v>1046</v>
      </c>
      <c r="BF40" s="95">
        <f t="shared" si="12"/>
        <v>8703.7707712364863</v>
      </c>
      <c r="BG40" s="95">
        <f>AVERAGE(BG8:BG35)</f>
        <v>56.507440476190482</v>
      </c>
      <c r="BH40" s="95">
        <f>SUM(BH8:BH35)</f>
        <v>52.524000000000015</v>
      </c>
      <c r="BI40" s="95">
        <f>SUM(BI8:BI35)</f>
        <v>52.804000000000009</v>
      </c>
      <c r="BJ40" s="95">
        <f>AVERAGE(BJ8:BJ35)</f>
        <v>27.251071428571425</v>
      </c>
      <c r="BK40" s="95">
        <f t="shared" ref="BK40:BR40" si="20">AVERAGE(BK8:BK35)</f>
        <v>27.563928571428562</v>
      </c>
      <c r="BL40" s="95">
        <f t="shared" si="20"/>
        <v>22.479642857142856</v>
      </c>
      <c r="BM40" s="95">
        <f t="shared" si="20"/>
        <v>28.077857142857141</v>
      </c>
      <c r="BN40" s="95">
        <f t="shared" si="20"/>
        <v>991.87749999999971</v>
      </c>
      <c r="BO40" s="95">
        <f t="shared" si="20"/>
        <v>50.053571428571431</v>
      </c>
      <c r="BP40" s="95">
        <f t="shared" si="20"/>
        <v>0.93708571428571441</v>
      </c>
      <c r="BQ40" s="95">
        <f t="shared" si="20"/>
        <v>95.807142857142836</v>
      </c>
      <c r="BR40" s="95">
        <f t="shared" si="20"/>
        <v>86.297500000000014</v>
      </c>
      <c r="BS40" s="4"/>
      <c r="BT40" s="95">
        <f>AVERAGE(BT8:BT35)</f>
        <v>12364.428571428571</v>
      </c>
      <c r="BU40" s="95">
        <f>AVERAGE(BU8:BU35)</f>
        <v>11938.428571428571</v>
      </c>
      <c r="BV40" s="6"/>
      <c r="BW40" s="97">
        <f>(SUM(BW8:BW35))</f>
        <v>105.32800000000002</v>
      </c>
      <c r="BX40" s="97">
        <f>(SUM(BX8:BX35))</f>
        <v>589.37</v>
      </c>
      <c r="BY40" s="97">
        <f>(SUM(BY8:BY35))</f>
        <v>590.12</v>
      </c>
      <c r="CA40" s="97">
        <f>(SUM(CA8:CA35))</f>
        <v>658.38</v>
      </c>
      <c r="CB40" s="97">
        <f>(SUM(CB8:CB35))</f>
        <v>205.29999999999998</v>
      </c>
      <c r="CD40" s="97"/>
      <c r="CE40" s="97"/>
      <c r="CF40" s="97"/>
      <c r="CG40" s="97"/>
    </row>
    <row r="41" spans="1:85" ht="15.75" thickBot="1">
      <c r="A41" s="98"/>
      <c r="B41" s="99" t="s">
        <v>84</v>
      </c>
      <c r="C41" s="100" t="s">
        <v>85</v>
      </c>
      <c r="D41" s="101" t="s">
        <v>86</v>
      </c>
      <c r="E41" s="101"/>
      <c r="F41" s="102" t="s">
        <v>87</v>
      </c>
      <c r="G41" s="102" t="s">
        <v>88</v>
      </c>
      <c r="H41" s="102" t="s">
        <v>75</v>
      </c>
      <c r="I41" s="102" t="s">
        <v>76</v>
      </c>
      <c r="J41" s="102" t="s">
        <v>75</v>
      </c>
      <c r="K41" s="102" t="s">
        <v>76</v>
      </c>
      <c r="L41" s="102" t="s">
        <v>75</v>
      </c>
      <c r="M41" s="102" t="s">
        <v>76</v>
      </c>
      <c r="N41" s="102" t="s">
        <v>75</v>
      </c>
      <c r="O41" s="102" t="s">
        <v>76</v>
      </c>
      <c r="P41" s="103" t="s">
        <v>89</v>
      </c>
      <c r="Q41" s="103" t="s">
        <v>90</v>
      </c>
      <c r="R41" s="103" t="s">
        <v>91</v>
      </c>
      <c r="S41" s="103" t="s">
        <v>91</v>
      </c>
      <c r="T41" s="103" t="s">
        <v>91</v>
      </c>
      <c r="U41" s="103" t="s">
        <v>91</v>
      </c>
      <c r="V41" s="103" t="s">
        <v>91</v>
      </c>
      <c r="W41" s="103" t="s">
        <v>92</v>
      </c>
      <c r="X41" s="103" t="s">
        <v>93</v>
      </c>
      <c r="Y41" s="103" t="s">
        <v>94</v>
      </c>
      <c r="Z41" s="103" t="s">
        <v>93</v>
      </c>
      <c r="AA41" s="103" t="s">
        <v>94</v>
      </c>
      <c r="AB41" s="103" t="s">
        <v>93</v>
      </c>
      <c r="AC41" s="103" t="s">
        <v>95</v>
      </c>
      <c r="AD41" s="103" t="s">
        <v>96</v>
      </c>
      <c r="AE41" s="103" t="s">
        <v>97</v>
      </c>
      <c r="AF41" s="103" t="s">
        <v>98</v>
      </c>
      <c r="AG41" s="103" t="s">
        <v>99</v>
      </c>
      <c r="AH41" s="103" t="s">
        <v>99</v>
      </c>
      <c r="AI41" s="103"/>
      <c r="AJ41" s="103" t="s">
        <v>99</v>
      </c>
      <c r="AK41" s="103" t="s">
        <v>100</v>
      </c>
      <c r="AL41" s="103" t="s">
        <v>99</v>
      </c>
      <c r="AM41" s="103"/>
      <c r="AN41" s="103" t="s">
        <v>100</v>
      </c>
      <c r="AO41" s="103" t="s">
        <v>99</v>
      </c>
      <c r="AP41" s="104"/>
      <c r="AQ41" s="105" t="s">
        <v>99</v>
      </c>
      <c r="AR41" s="106"/>
      <c r="AS41" s="107"/>
      <c r="AZ41" s="108" t="s">
        <v>100</v>
      </c>
      <c r="BA41" s="4"/>
      <c r="BF41" s="109" t="str">
        <f t="shared" si="12"/>
        <v>Avg.</v>
      </c>
      <c r="BS41" s="4"/>
      <c r="BT41" s="5"/>
      <c r="BU41" s="5"/>
      <c r="BV41" s="6"/>
    </row>
    <row r="42" spans="1:85" ht="15.75" thickBot="1">
      <c r="B42" s="110"/>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c r="AA42" s="110"/>
      <c r="AB42" s="110"/>
      <c r="AC42" s="110"/>
      <c r="AD42" s="110"/>
      <c r="AE42" s="110"/>
      <c r="AF42" s="110"/>
      <c r="AG42" s="110"/>
      <c r="AH42" s="110"/>
      <c r="AI42" s="110"/>
      <c r="AJ42" s="110"/>
      <c r="AK42" s="110"/>
      <c r="AL42" s="110"/>
      <c r="AM42" s="111"/>
      <c r="AQ42" s="112"/>
      <c r="AR42" s="112"/>
      <c r="AS42" s="4"/>
      <c r="BA42" s="113"/>
      <c r="BB42" s="114"/>
      <c r="BC42" s="114"/>
      <c r="BD42" s="114"/>
      <c r="BE42" s="6"/>
      <c r="BS42" s="4"/>
      <c r="BT42" s="5"/>
      <c r="BU42" s="5"/>
      <c r="BV42" s="6"/>
    </row>
    <row r="43" spans="1:85" ht="60.75" thickBot="1">
      <c r="B43" s="115" t="s">
        <v>101</v>
      </c>
      <c r="C43" s="116" t="s">
        <v>102</v>
      </c>
      <c r="D43" s="116" t="s">
        <v>103</v>
      </c>
      <c r="E43" s="246"/>
      <c r="F43" s="428" t="s">
        <v>104</v>
      </c>
      <c r="G43" s="429"/>
      <c r="H43" s="428" t="s">
        <v>105</v>
      </c>
      <c r="I43" s="429"/>
      <c r="J43" s="428" t="s">
        <v>106</v>
      </c>
      <c r="K43" s="429"/>
      <c r="L43" s="428" t="s">
        <v>107</v>
      </c>
      <c r="M43" s="429"/>
      <c r="N43" s="428" t="s">
        <v>108</v>
      </c>
      <c r="O43" s="429"/>
      <c r="P43" s="428" t="s">
        <v>109</v>
      </c>
      <c r="Q43" s="429"/>
      <c r="R43" s="117" t="s">
        <v>110</v>
      </c>
      <c r="S43" s="118" t="s">
        <v>111</v>
      </c>
      <c r="T43" s="119" t="s">
        <v>112</v>
      </c>
      <c r="U43" s="116" t="s">
        <v>11</v>
      </c>
      <c r="V43" s="119" t="s">
        <v>12</v>
      </c>
      <c r="W43" s="116" t="s">
        <v>113</v>
      </c>
      <c r="X43" s="116" t="s">
        <v>14</v>
      </c>
      <c r="Y43" s="116" t="s">
        <v>114</v>
      </c>
      <c r="Z43" s="116" t="s">
        <v>16</v>
      </c>
      <c r="AA43" s="116" t="s">
        <v>18</v>
      </c>
      <c r="AB43" s="116" t="s">
        <v>17</v>
      </c>
      <c r="AC43" s="118" t="s">
        <v>19</v>
      </c>
      <c r="AD43" s="120" t="s">
        <v>20</v>
      </c>
      <c r="AE43" s="121" t="s">
        <v>21</v>
      </c>
      <c r="AF43" s="121" t="s">
        <v>22</v>
      </c>
      <c r="AG43" s="121" t="s">
        <v>115</v>
      </c>
      <c r="AH43" s="122" t="s">
        <v>116</v>
      </c>
      <c r="AI43" s="122" t="s">
        <v>25</v>
      </c>
      <c r="AJ43" s="123" t="s">
        <v>26</v>
      </c>
      <c r="AK43" s="119" t="s">
        <v>117</v>
      </c>
      <c r="AL43" s="124" t="s">
        <v>28</v>
      </c>
      <c r="AM43" s="124" t="s">
        <v>29</v>
      </c>
      <c r="AN43" s="119" t="s">
        <v>118</v>
      </c>
      <c r="AO43" s="124" t="s">
        <v>119</v>
      </c>
      <c r="AP43" s="124" t="s">
        <v>32</v>
      </c>
      <c r="AQ43" s="123" t="s">
        <v>120</v>
      </c>
      <c r="AR43" s="125"/>
      <c r="AS43" s="125"/>
      <c r="BA43" s="113"/>
      <c r="BB43" s="114"/>
      <c r="BC43" s="114"/>
      <c r="BD43" s="114"/>
      <c r="BE43" s="126">
        <f>AVERAGE(BE27:BE30)</f>
        <v>41</v>
      </c>
      <c r="BS43" s="4"/>
      <c r="BT43" s="5"/>
      <c r="BU43" s="5"/>
      <c r="BV43" s="6"/>
    </row>
    <row r="44" spans="1:85">
      <c r="B44" s="127" t="s">
        <v>144</v>
      </c>
      <c r="C44" s="128">
        <f>IF(C5=0,"no data",AVERAGE(C5:C11))</f>
        <v>71.451428571428565</v>
      </c>
      <c r="D44" s="128">
        <f>IF(D5=0,"no data",AVERAGE(D5:D11))*100</f>
        <v>67.587142857142865</v>
      </c>
      <c r="E44" s="128">
        <f>IF(E5=0,"no data",AVERAGE(E5:E11))</f>
        <v>61.818571428571431</v>
      </c>
      <c r="F44" s="128">
        <f>IF(F5=0,"no data",AVERAGE(F5:F11))</f>
        <v>82.857142857142861</v>
      </c>
      <c r="G44" s="128">
        <f>IF(G5=0,"no data",AVERAGE(G5:G11))</f>
        <v>61.714285714285715</v>
      </c>
      <c r="H44" s="128">
        <f>SUM(H5:H11)+INT(SUM(I5:I11)/60)</f>
        <v>168</v>
      </c>
      <c r="I44" s="128">
        <f>SUM(I5:I11)-INT(SUM(I5:I11)/60)*60</f>
        <v>0</v>
      </c>
      <c r="J44" s="128">
        <f>SUM(J5:J11)+INT(SUM(K5:K11)/60)</f>
        <v>156</v>
      </c>
      <c r="K44" s="128">
        <f>SUM(K5:K11)-INT(SUM(K5:K11)/60)*60</f>
        <v>10</v>
      </c>
      <c r="L44" s="128">
        <f>SUM(L5:L11)+INT(SUM(M5:M11)/60)</f>
        <v>0</v>
      </c>
      <c r="M44" s="128">
        <f>SUM(M5:M11)-INT(SUM(M5:M11)/60)*60</f>
        <v>0</v>
      </c>
      <c r="N44" s="128">
        <f>SUM(N5:N11)+INT(SUM(O5:O11)/60)</f>
        <v>0</v>
      </c>
      <c r="O44" s="128">
        <f>SUM(O5:O11)-INT(SUM(O5:O11)/60)*60</f>
        <v>0</v>
      </c>
      <c r="P44" s="128">
        <f>SUM(P5:P11)+INT(SUM(Q5:Q11)/60)</f>
        <v>130</v>
      </c>
      <c r="Q44" s="128">
        <f>SUM(Q5:Q11)-INT(SUM(Q5:Q11)/60)*60</f>
        <v>24</v>
      </c>
      <c r="R44" s="130">
        <f>IF(C5=0,"no data", AVERAGE(R5:R11))</f>
        <v>3667</v>
      </c>
      <c r="S44" s="130">
        <f>IF(D5=0,"no data", AVERAGE(S5:S11))</f>
        <v>3482.7142857142858</v>
      </c>
      <c r="T44" s="130">
        <f>IF(E5=0,"no data", AVERAGE(T5:T11))</f>
        <v>3457.7142857142858</v>
      </c>
      <c r="U44" s="139">
        <f>IF(U5=0,"no data", SUM(U5:U11))</f>
        <v>23704</v>
      </c>
      <c r="V44" s="139">
        <f>IF(V5=0,"no data", SUM(V5:V11))</f>
        <v>24441</v>
      </c>
      <c r="W44" s="131">
        <f>IF(W5=0,"no data", AVERAGE(W5:W11))</f>
        <v>44.714285714285715</v>
      </c>
      <c r="X44" s="140" t="str">
        <f>IF(AND(X5=0,X6=0,X7=0,X8=0,X9=0,X10=0,X11=0),"No outage",SUM(X5:X11))</f>
        <v>No outage</v>
      </c>
      <c r="Y44" s="131">
        <f>IF(Y5=0,"no data", AVERAGE(Y5:Y11))</f>
        <v>44.571428571428569</v>
      </c>
      <c r="Z44" s="140">
        <f>IF(AND(Z5=0,Z6=0,Z7=0,Z8=0,Z9=0,Z10=0,Z11=0),"No outage",SUM(Z5:Z11))</f>
        <v>643</v>
      </c>
      <c r="AA44" s="132" t="str">
        <f>IF(AND(AB5=0,AB6=0,AB7=0,AB8=0,AB9=0, AB10=0,AB11=0),"No outage",SUM(AB5:AB11))</f>
        <v>No outage</v>
      </c>
      <c r="AB44" s="132">
        <f>IF(AA5=0,"no data", AVERAGE(AA5:AA11))</f>
        <v>62</v>
      </c>
      <c r="AC44" s="128" t="str">
        <f>IF(Z5=0,"no data", SUM(AC5:AC11))</f>
        <v>no data</v>
      </c>
      <c r="AD44" s="128">
        <f>IF(AD5=0,"no data", SUM(AD5:AD11))</f>
        <v>-500</v>
      </c>
      <c r="AE44" s="131">
        <f t="shared" ref="AE44:AJ44" si="21">IF(AE5=0,"no data", AVERAGE(AE5:AE11))</f>
        <v>154.42857142857142</v>
      </c>
      <c r="AF44" s="133">
        <f t="shared" si="21"/>
        <v>0.94205073081734281</v>
      </c>
      <c r="AG44" s="132">
        <f t="shared" si="21"/>
        <v>152.79166666666669</v>
      </c>
      <c r="AH44" s="133">
        <f t="shared" si="21"/>
        <v>0.92359471971989104</v>
      </c>
      <c r="AI44" s="133">
        <f t="shared" si="21"/>
        <v>0.98082140263512818</v>
      </c>
      <c r="AJ44" s="133">
        <f t="shared" si="21"/>
        <v>0.96072810703228662</v>
      </c>
      <c r="AK44" s="132">
        <f>IF(AK5=0,"no data", SUM(AK5:AK11))</f>
        <v>66.054999999999993</v>
      </c>
      <c r="AL44" s="132">
        <f>IF(AL5=0,"no data", AVERAGE(AL5:AL11))</f>
        <v>138.84857142857143</v>
      </c>
      <c r="AM44" s="132">
        <f>AK44*AL44</f>
        <v>9171.6423857142854</v>
      </c>
      <c r="AN44" s="132">
        <f>IF(AN5=0,"no data", SUM(AN5:AN11))</f>
        <v>207.78795999999997</v>
      </c>
      <c r="AO44" s="132">
        <f>IF(AO5=0,"no data", AVERAGE(AO5:AO11))</f>
        <v>962.23272346412443</v>
      </c>
      <c r="AP44" s="132">
        <f>AN44*AO44</f>
        <v>199940.37465385452</v>
      </c>
      <c r="AQ44" s="134">
        <f>IF(AQ5=0,"no data", AVERAGE(AQ5:AQ11))</f>
        <v>8822.2013167361092</v>
      </c>
      <c r="AR44" s="135"/>
      <c r="AS44" s="136"/>
      <c r="BA44" s="113"/>
      <c r="BB44" s="114"/>
      <c r="BC44" s="114"/>
      <c r="BD44" s="114"/>
      <c r="BS44" s="4"/>
      <c r="BT44" s="5"/>
      <c r="BU44" s="5"/>
      <c r="BV44" s="6"/>
    </row>
    <row r="45" spans="1:85">
      <c r="B45" s="127" t="s">
        <v>162</v>
      </c>
      <c r="C45" s="137">
        <f>IF(C12=0,"no data", AVERAGE(C12:C18))</f>
        <v>73.301428571428573</v>
      </c>
      <c r="D45" s="138">
        <f>IF(D12=0,"no data", AVERAGE(D12:D18))</f>
        <v>0.62084285714285714</v>
      </c>
      <c r="E45" s="140">
        <f>IF(E12=0,"no data", AVERAGE(E12:E18))</f>
        <v>60.998571428571431</v>
      </c>
      <c r="F45" s="137">
        <f>IF(F12=0,"no data", AVERAGE(F12:F18))</f>
        <v>85.571428571428569</v>
      </c>
      <c r="G45" s="137">
        <f>IF(G12=0,"no data", AVERAGE(G12:G18))</f>
        <v>63</v>
      </c>
      <c r="H45" s="137">
        <f>SUM(H12:H18)+INT(SUM(I12:I18)/60)</f>
        <v>168</v>
      </c>
      <c r="I45" s="137">
        <f>SUM(I12:I18)-INT(SUM(J12:J18)/60)</f>
        <v>-2</v>
      </c>
      <c r="J45" s="137">
        <f>SUM(J12:J18)+INT(SUM(K12:K18)/60)</f>
        <v>168</v>
      </c>
      <c r="K45" s="137">
        <f>SUM(K12:K18)-INT(SUM(L12:L18)/60)*60</f>
        <v>0</v>
      </c>
      <c r="L45" s="137">
        <f>SUM(L12:L18)+INT(SUM(M12:M18)/60)</f>
        <v>0</v>
      </c>
      <c r="M45" s="137">
        <f>SUM(M12:M18)-INT(SUM(N12:N18)/60)*60</f>
        <v>0</v>
      </c>
      <c r="N45" s="137">
        <f>SUM(N12:N18)+INT(SUM(O12:O18)/60)</f>
        <v>0</v>
      </c>
      <c r="O45" s="137">
        <v>0</v>
      </c>
      <c r="P45" s="137">
        <f>SUM(P12:P18)+INT(SUM(Q12:Q18)/60)</f>
        <v>142</v>
      </c>
      <c r="Q45" s="137">
        <f>SUM(Q8:Q12)-INT(SUM(Q12:Q18)/60)*60</f>
        <v>2</v>
      </c>
      <c r="R45" s="139">
        <f>IF(R12=0,"no data", AVERAGE(R12:R18))</f>
        <v>3654.5714285714284</v>
      </c>
      <c r="S45" s="139">
        <f>IF(S12=0,"no data", AVERAGE(S12:S18))</f>
        <v>3542.8571428571427</v>
      </c>
      <c r="T45" s="139">
        <f>IF(T12=0,"no data", AVERAGE(T12:T18))</f>
        <v>3540.5714285714284</v>
      </c>
      <c r="U45" s="139">
        <f>IF(U12=0,"no data", SUM(U12:U18))</f>
        <v>24261</v>
      </c>
      <c r="V45" s="139">
        <f>IF(V12=0,"no data", SUM(V12:V18))</f>
        <v>25003</v>
      </c>
      <c r="W45" s="139">
        <f>IF(W12=0,"no data", AVERAGE(W12:W18))</f>
        <v>44.714285714285715</v>
      </c>
      <c r="X45" s="140" t="str">
        <f>IF(AND(X12=0,X13=0,X14=0,X15=0,X16=0,X17=0,X18=0),"No outage",SUM(X12:X18))</f>
        <v>No outage</v>
      </c>
      <c r="Y45" s="139">
        <f>IF(Y12=0,"no data", AVERAGE(Y12:Y18))</f>
        <v>46.571428571428569</v>
      </c>
      <c r="Z45" s="140" t="str">
        <f>IF(AND(Z12=0,Z13=0,Z14=0,Z15=0,Z16=0,Z17=0,Z18=0),"No outage",SUM(Z12:Z18))</f>
        <v>No outage</v>
      </c>
      <c r="AA45" s="132" t="str">
        <f>IF(AND(AB12=0,AB13=0,AB14=0,AB15=0,AB16=0, AB17=0,AB18=0),"No outage",SUM(AB12:AB18))</f>
        <v>No outage</v>
      </c>
      <c r="AB45" s="132">
        <f>IF(AA6=12,"no data", AVERAGE(AA12:AA18))</f>
        <v>59.714285714285715</v>
      </c>
      <c r="AC45" s="139">
        <f>IF(AC12=0,"no data", SUM(AC12:AC18))</f>
        <v>742</v>
      </c>
      <c r="AD45" s="139">
        <f>IF(AD12=0,"no data", SUM(AD12:AD18))</f>
        <v>-523</v>
      </c>
      <c r="AE45" s="139">
        <f t="shared" ref="AE45:AJ45" si="22">IF(AE12=0,"no data", AVERAGE(AE12:AE18))</f>
        <v>152.28571428571428</v>
      </c>
      <c r="AF45" s="141">
        <f t="shared" si="22"/>
        <v>0.97731557431808025</v>
      </c>
      <c r="AG45" s="139">
        <f t="shared" si="22"/>
        <v>152.27380952380949</v>
      </c>
      <c r="AH45" s="141">
        <f t="shared" si="22"/>
        <v>0.94829128488913927</v>
      </c>
      <c r="AI45" s="141">
        <f t="shared" si="22"/>
        <v>1</v>
      </c>
      <c r="AJ45" s="141">
        <f t="shared" si="22"/>
        <v>0.98417055055474545</v>
      </c>
      <c r="AK45" s="142">
        <f>IF(AK12=0,"no data",SUM(AK12:AK18))</f>
        <v>69.134999999999991</v>
      </c>
      <c r="AL45" s="143">
        <f>IF(AL12=0,"no data", AVERAGE(AL12:AL18))</f>
        <v>135.21857142857144</v>
      </c>
      <c r="AM45" s="140">
        <f>AK45*AL45</f>
        <v>9348.3359357142854</v>
      </c>
      <c r="AN45" s="140">
        <f>IF(AN12=0,"no data", SUM(AN12:AN18))</f>
        <v>208.47532999999999</v>
      </c>
      <c r="AO45" s="142">
        <f>IF(AO12=0,"no data",AVERAGE(AO12:AO18))</f>
        <v>965.52403511632588</v>
      </c>
      <c r="AP45" s="140">
        <f>AN45*AO45</f>
        <v>201287.94184380761</v>
      </c>
      <c r="AQ45" s="144">
        <f>IF(AQ12=0,"no data", AVERAGE(AQ12:AQ18))</f>
        <v>8678.6494381982211</v>
      </c>
      <c r="AR45" s="135"/>
      <c r="AS45" s="136"/>
      <c r="BA45" s="113"/>
      <c r="BC45" s="114"/>
      <c r="BS45" s="4"/>
      <c r="BT45" s="5"/>
      <c r="BU45" s="5"/>
      <c r="BV45" s="6"/>
    </row>
    <row r="46" spans="1:85">
      <c r="A46" s="145"/>
      <c r="B46" s="127" t="s">
        <v>163</v>
      </c>
      <c r="C46" s="140">
        <f>IF(C19=0,"no data", AVERAGE(C19:C25))</f>
        <v>75.547142857142859</v>
      </c>
      <c r="D46" s="138">
        <f>IF(D19=0,"no data", AVERAGE(D19:D25))</f>
        <v>0.57862857142857138</v>
      </c>
      <c r="E46" s="140">
        <f>IF(E19=0,"no data", AVERAGE(E19:E25))</f>
        <v>61.292857142857152</v>
      </c>
      <c r="F46" s="140">
        <f>IF(F19=0,"no data", AVERAGE(F19:F25))</f>
        <v>89.571428571428569</v>
      </c>
      <c r="G46" s="140">
        <f>IF(G19=0,"no data", AVERAGE(G19:G25))</f>
        <v>64.428571428571431</v>
      </c>
      <c r="H46" s="137">
        <f>SUM(H19:H25)+INT(SUM(I19:I25)/60)</f>
        <v>168</v>
      </c>
      <c r="I46" s="137">
        <f>SUM(I19:I25)-INT(SUM(I25:I25)/60)*60</f>
        <v>0</v>
      </c>
      <c r="J46" s="137">
        <f>SUM(J19:J25)+INT(SUM(K19:K25)/60)</f>
        <v>168</v>
      </c>
      <c r="K46" s="137">
        <f>SUM(K19:K25)-INT(SUM(K19:K25)/60)*60</f>
        <v>0</v>
      </c>
      <c r="L46" s="137">
        <f>SUM(L19:L25)+INT(SUM(M19:M25)/60)</f>
        <v>0</v>
      </c>
      <c r="M46" s="137">
        <f>SUM(M19:M25)-INT(SUM(M19:M25)/60)*60</f>
        <v>0</v>
      </c>
      <c r="N46" s="137">
        <f>SUM(N19:N25)+INT(SUM(O19:O25)/60)</f>
        <v>0</v>
      </c>
      <c r="O46" s="137">
        <f>SUM(O19:O25)-INT(SUM(O19:O25)/60)*60</f>
        <v>0</v>
      </c>
      <c r="P46" s="137">
        <f>SUM(P19:P25)+INT(SUM(Q19:Q25)/60)</f>
        <v>132</v>
      </c>
      <c r="Q46" s="137">
        <f>SUM(Q19:Q25)-INT(SUM(Q19:Q25)/60)*60</f>
        <v>31</v>
      </c>
      <c r="R46" s="139">
        <f>IF(R19=0,"no data", AVERAGE(R19:R25))</f>
        <v>3636</v>
      </c>
      <c r="S46" s="139">
        <f>IF(S19=0,"no data", AVERAGE(S19:S25))</f>
        <v>3489.1428571428573</v>
      </c>
      <c r="T46" s="139">
        <f>IF(T19=0,"no data", AVERAGE(T19:T25))</f>
        <v>3488</v>
      </c>
      <c r="U46" s="146">
        <f>IF(U19=0,"no data", SUM(U19:U25))</f>
        <v>23892</v>
      </c>
      <c r="V46" s="146">
        <f>IF(V19=0,"no data", SUM(V19:V25))</f>
        <v>24632</v>
      </c>
      <c r="W46" s="146">
        <f>IF(W19=0,"no data", AVERAGE(W19:W25))</f>
        <v>44.571428571428569</v>
      </c>
      <c r="X46" s="140" t="str">
        <f>IF(AND(X19=0,X20=0,X21=0,X22=0,X23=0,X24=0,X25=0),"No outage",SUM(X19:X25))</f>
        <v>No outage</v>
      </c>
      <c r="Y46" s="146">
        <f>IF(Y19=0,"no data", AVERAGE(Y19:Y25))</f>
        <v>46.428571428571431</v>
      </c>
      <c r="Z46" s="140" t="str">
        <f>IF(AND(Z19=0,Z20=0,Z21=0,Z22=0,Z23=0,Z24=0,Z25=0),"No outage",SUM(Z19:Z25))</f>
        <v>No outage</v>
      </c>
      <c r="AA46" s="132" t="str">
        <f>IF(AND(AB19=0,AB20=0,AB21=0,AB22=0,AB23=0, AB24=0,AB25=0),"No outage",SUM(AB19:AB25))</f>
        <v>No outage</v>
      </c>
      <c r="AB46" s="132">
        <f>IF(AA19=0,"no data", AVERAGE(AA19:AA25))</f>
        <v>59.142857142857146</v>
      </c>
      <c r="AC46" s="140">
        <f>IF(AC19=0,"no data", SUM(AC19:AC25))</f>
        <v>740</v>
      </c>
      <c r="AD46" s="146">
        <f>IF(AD19=0,"no data", SUM(AD19:AD25))</f>
        <v>-524</v>
      </c>
      <c r="AE46" s="140">
        <f t="shared" ref="AE46:AJ46" si="23">IF(AE19=0,"no data", AVERAGE(AE19:AE25))</f>
        <v>150.57142857142858</v>
      </c>
      <c r="AF46" s="141">
        <f t="shared" si="23"/>
        <v>0.97372188710239571</v>
      </c>
      <c r="AG46" s="140">
        <f t="shared" si="23"/>
        <v>151.5</v>
      </c>
      <c r="AH46" s="141">
        <f t="shared" si="23"/>
        <v>0.93872250096070275</v>
      </c>
      <c r="AI46" s="141">
        <f t="shared" si="23"/>
        <v>1</v>
      </c>
      <c r="AJ46" s="141">
        <f t="shared" si="23"/>
        <v>0.97752132281716941</v>
      </c>
      <c r="AK46" s="140">
        <f>IF(AK19=0,"no data", SUM(AK19:AK25))</f>
        <v>67.873999999999995</v>
      </c>
      <c r="AL46" s="140">
        <f>IF(AL19=0,"no data", AVERAGE(AL19:AL25))</f>
        <v>135.34142857142857</v>
      </c>
      <c r="AM46" s="140">
        <f>AK46*AL46</f>
        <v>9186.1641228571425</v>
      </c>
      <c r="AN46" s="140">
        <f>IF(AN19=0,"no data", SUM(AN19:AN24))</f>
        <v>179.27882999999997</v>
      </c>
      <c r="AO46" s="140">
        <f>IF(AO19=0,"no data", AVERAGE(AO19:AO24))</f>
        <v>964.9659276151009</v>
      </c>
      <c r="AP46" s="140">
        <f>AN46*AO46</f>
        <v>172997.96249269994</v>
      </c>
      <c r="AQ46" s="144">
        <f>IF(AQ19=0,"no data", AVERAGE(AQ19:AQ25))</f>
        <v>8672.5818715667538</v>
      </c>
      <c r="AR46" s="135"/>
      <c r="AS46" s="136"/>
      <c r="AT46" s="145"/>
      <c r="AU46" s="145"/>
      <c r="AV46" s="145"/>
      <c r="AW46" s="145"/>
      <c r="AY46" s="145"/>
      <c r="AZ46" s="145"/>
      <c r="BA46" s="113"/>
      <c r="BB46" s="145"/>
      <c r="BC46" s="114"/>
      <c r="BD46" s="145"/>
      <c r="BE46" s="145"/>
      <c r="BF46" s="145"/>
      <c r="BG46" s="145"/>
      <c r="BS46" s="4"/>
      <c r="BT46" s="5"/>
      <c r="BU46" s="5"/>
      <c r="BV46" s="6"/>
    </row>
    <row r="47" spans="1:85">
      <c r="B47" s="127" t="s">
        <v>164</v>
      </c>
      <c r="C47" s="140">
        <f>IF(C26=0,"no data", AVERAGE(C26:C32))</f>
        <v>74.631428571428586</v>
      </c>
      <c r="D47" s="140">
        <f>IF(D26=0,"no data", AVERAGE(D26:D32))</f>
        <v>0.60571428571428565</v>
      </c>
      <c r="E47" s="140">
        <f>IF(E26=0,"no data", AVERAGE(E26:E32))</f>
        <v>61.800000000000004</v>
      </c>
      <c r="F47" s="140">
        <f>IF(F26=0,"no data", AVERAGE(F26:F32))</f>
        <v>86</v>
      </c>
      <c r="G47" s="140">
        <f>IF(G26=0,"no data", AVERAGE(G26:G32))</f>
        <v>63.285714285714285</v>
      </c>
      <c r="H47" s="137">
        <f>SUM(H26:H32)+INT(SUM(I26:I32)/60)</f>
        <v>168</v>
      </c>
      <c r="I47" s="137">
        <f>SUM(I26:I32)-INT(SUM(I26:I32)/60)*60</f>
        <v>0</v>
      </c>
      <c r="J47" s="137">
        <f>SUM(J26:J32)+INT(SUM(K26:K32)/60)</f>
        <v>168</v>
      </c>
      <c r="K47" s="137">
        <f>SUM(K26:K32)-INT(SUM(K26:K32)/60)*60</f>
        <v>0</v>
      </c>
      <c r="L47" s="137">
        <f>SUM(L26:L32)+INT(SUM(M26:M32)/60)</f>
        <v>0</v>
      </c>
      <c r="M47" s="137">
        <f>SUM(M26:M32)-INT(SUM(M26:M32)/60)*60</f>
        <v>0</v>
      </c>
      <c r="N47" s="137">
        <f>SUM(N26:N32)+INT(SUM(O26:O32)/60)</f>
        <v>0</v>
      </c>
      <c r="O47" s="137">
        <f>SUM(O26:O32)-INT(SUM(O26:O32)/60)*60</f>
        <v>0</v>
      </c>
      <c r="P47" s="137">
        <f>SUM(P26:P32)+INT(SUM(Q26:Q32)/60)</f>
        <v>132</v>
      </c>
      <c r="Q47" s="137">
        <f>SUM(Q26:Q32)-INT(SUM(Q26:Q32)/60)*60</f>
        <v>42</v>
      </c>
      <c r="R47" s="139">
        <f>IF(R26=0,"no data", AVERAGE(R26:R32))</f>
        <v>3644.4285714285716</v>
      </c>
      <c r="S47" s="139">
        <f>IF(S26=0,"no data", AVERAGE(S26:S32))</f>
        <v>3495.1428571428573</v>
      </c>
      <c r="T47" s="139">
        <f>IF(T26=0,"no data", AVERAGE(T26:T32))</f>
        <v>3495.1428571428573</v>
      </c>
      <c r="U47" s="139">
        <f>IF(U26=0,"no data", SUM(U26:U32))</f>
        <v>23962</v>
      </c>
      <c r="V47" s="139">
        <f>IF(V26=0,"no data", SUM(V26:V32))</f>
        <v>24697</v>
      </c>
      <c r="W47" s="146">
        <f>IF(W26=0,"no data", AVERAGE(W26:W32))</f>
        <v>44.142857142857146</v>
      </c>
      <c r="X47" s="140" t="str">
        <f>IF(AND(X26=0,X27=0,X28=0,X29=0,X30=0,X31=0,X32=0),"No outage",SUM(X26:X32))</f>
        <v>No outage</v>
      </c>
      <c r="Y47" s="146">
        <f>IF(Y26=0,"no data", AVERAGE(Y26:Y32))</f>
        <v>46</v>
      </c>
      <c r="Z47" s="140" t="str">
        <f>IF(AND(Z26=0,Z27=0,Z28=0,Z29=0,Z30=0,Z31=0,Z32=0),"No outage",SUM(Z26:Z32))</f>
        <v>No outage</v>
      </c>
      <c r="AA47" s="140">
        <f>IF(AND(AA26=0,AA27=0,AA28=0,AA29=0,AA30=0,AA31=0,AA32=0),"No outage",SUM(AA26:AA32))</f>
        <v>418</v>
      </c>
      <c r="AB47" s="132">
        <f>IF(AA26=0,"no data", AVERAGE(AA26:AA32))</f>
        <v>59.714285714285715</v>
      </c>
      <c r="AC47" s="139">
        <f>IF(AC26=0,"no data", SUM(AC26:AC32))</f>
        <v>735</v>
      </c>
      <c r="AD47" s="139">
        <f>IF(AD26=0,"no data", SUM(AD26:AD32))</f>
        <v>-504</v>
      </c>
      <c r="AE47" s="146">
        <f t="shared" ref="AE47:AJ47" si="24">IF(AE26=0,"no data", AVERAGE(AE26:AE32))</f>
        <v>150.85714285714286</v>
      </c>
      <c r="AF47" s="138">
        <f t="shared" si="24"/>
        <v>0.97436361065071042</v>
      </c>
      <c r="AG47" s="140">
        <f t="shared" si="24"/>
        <v>151.85119047619051</v>
      </c>
      <c r="AH47" s="138">
        <f t="shared" si="24"/>
        <v>0.93917324891944298</v>
      </c>
      <c r="AI47" s="138">
        <f t="shared" si="24"/>
        <v>1</v>
      </c>
      <c r="AJ47" s="138">
        <f t="shared" si="24"/>
        <v>0.98180009587727712</v>
      </c>
      <c r="AK47" s="139">
        <f>IF(AK26=0,"no data", SUM(AK26:AK32))</f>
        <v>66.963999999999999</v>
      </c>
      <c r="AL47" s="140">
        <f>IF(AL26=0,"no data", AVERAGE(AL26:AL32))</f>
        <v>135.00142857142856</v>
      </c>
      <c r="AM47" s="140">
        <f>AK47*AL47</f>
        <v>9040.2356628571415</v>
      </c>
      <c r="AN47" s="140">
        <f>IF(AN26=0,"no data", SUM(AN26:AN32))</f>
        <v>206.60062900000003</v>
      </c>
      <c r="AO47" s="140">
        <f>IF(AO26=0,"no data", AVERAGE(AO26:AO32))</f>
        <v>966.27671481659581</v>
      </c>
      <c r="AP47" s="140">
        <f>AN47*AO47</f>
        <v>199633.37706916235</v>
      </c>
      <c r="AQ47" s="144">
        <f>IF(AQ26=0,"no data", AVERAGE(AQ26:AQ32))</f>
        <v>8705.9781730544019</v>
      </c>
      <c r="AR47" s="135"/>
      <c r="AS47" s="136"/>
      <c r="BA47" s="113"/>
      <c r="BC47" s="114"/>
      <c r="BS47" s="4"/>
      <c r="BT47" s="5"/>
      <c r="BU47" s="5"/>
      <c r="BV47" s="6"/>
    </row>
    <row r="48" spans="1:85">
      <c r="B48" s="127" t="s">
        <v>165</v>
      </c>
      <c r="C48" s="140">
        <f>IF(C33=0,"no data", AVERAGE(C33:C39))</f>
        <v>82.861666666666665</v>
      </c>
      <c r="D48" s="140">
        <f>IF(D33=0,"no data", AVERAGE(D33:D39))</f>
        <v>0.49701666666666666</v>
      </c>
      <c r="E48" s="140">
        <f>IF(E33=0,"no data", AVERAGE(E33:E39))</f>
        <v>64.394999999999996</v>
      </c>
      <c r="F48" s="140">
        <f>IF(F33=0,"no data", AVERAGE(F33:F39))</f>
        <v>98</v>
      </c>
      <c r="G48" s="140">
        <f>IF(G33=0,"no data", AVERAGE(G33:G39))</f>
        <v>68.5</v>
      </c>
      <c r="H48" s="137">
        <f>SUM(H33:H39)+INT(SUM(I33:I39)/60)</f>
        <v>131</v>
      </c>
      <c r="I48" s="137">
        <f>SUM(I33:I39)-INT(SUM(I33:I39)/60)*60</f>
        <v>8</v>
      </c>
      <c r="J48" s="137">
        <f>SUM(J33:J39)+INT(SUM(K33:K39)/60)</f>
        <v>144</v>
      </c>
      <c r="K48" s="137">
        <f>SUM(K33:K39)-INT(SUM(K33:K39)/60)*60</f>
        <v>0</v>
      </c>
      <c r="L48" s="137">
        <f>SUM(L33:L39)+INT(SUM(M33:M39)/60)</f>
        <v>0</v>
      </c>
      <c r="M48" s="137">
        <f>SUM(M33:M39)-INT(SUM(M33:M39)/60)*60</f>
        <v>0</v>
      </c>
      <c r="N48" s="137">
        <f>SUM(N33:N39)+INT(SUM(O33:O39)/60)</f>
        <v>0</v>
      </c>
      <c r="O48" s="137">
        <f>SUM(O33:O39)-INT(SUM(O33:O39)/60)*60</f>
        <v>0</v>
      </c>
      <c r="P48" s="137">
        <f>SUM(P33:P39)+INT(SUM(Q33:Q39)/60)</f>
        <v>119</v>
      </c>
      <c r="Q48" s="137">
        <f>SUM(Q33:Q39)-INT(SUM(Q33:Q39)/60)*60</f>
        <v>8</v>
      </c>
      <c r="R48" s="139">
        <f>IF(R33=0,"no data", AVERAGE(R33:R39))</f>
        <v>3566.3333333333335</v>
      </c>
      <c r="S48" s="139">
        <f>IF(S33=0,"no data", AVERAGE(S33:S39))</f>
        <v>3335.1666666666665</v>
      </c>
      <c r="T48" s="139">
        <f>IF(T33=0,"no data", AVERAGE(T33:T39))</f>
        <v>3335.1666666666665</v>
      </c>
      <c r="U48" s="139">
        <f>IF(U33=0,"no data", SUM(U33:U39))</f>
        <v>19640</v>
      </c>
      <c r="V48" s="139">
        <f>IF(V33=0,"no data", SUM(V33:V39))</f>
        <v>20278</v>
      </c>
      <c r="W48" s="146">
        <f>IF(W33=0,"no data", AVERAGE(W33:W39))</f>
        <v>44.166666666666664</v>
      </c>
      <c r="X48" s="140">
        <f>IF(AND(X33=0,X34=0,X35=0,X36=0,X37=0,X38=0,X39=0),"No outage",SUM(X33:X39))</f>
        <v>744</v>
      </c>
      <c r="Y48" s="146">
        <f>IF(Y33=0,"no data", AVERAGE(Y33:Y39))</f>
        <v>45.166666666666664</v>
      </c>
      <c r="Z48" s="140" t="str">
        <f>IF(AND(Z33=0,Z34=0,Z35=0,Z36=0,Z37=0,Z38=0,Z39=0),"No outage",SUM(Z33:Z39))</f>
        <v>No outage</v>
      </c>
      <c r="AA48" s="140">
        <f>IF(AND(AA33=0,AA34=0,AA35=0,AA36=0,AA37=0,AA38=0,AA39=0),"No outage",SUM(AA33:AA39))</f>
        <v>350</v>
      </c>
      <c r="AB48" s="132">
        <f>IF(AA33=0,"no data", AVERAGE(AA33:AA39))</f>
        <v>58.333333333333336</v>
      </c>
      <c r="AC48" s="139">
        <f>IF(AC33=0,"no data", SUM(AC33:AC39))</f>
        <v>638</v>
      </c>
      <c r="AD48" s="139">
        <f>IF(AD33=0,"no data", SUM(AD33:AD39))</f>
        <v>-371</v>
      </c>
      <c r="AE48" s="146">
        <f>IF(AE33=0,"no data", AVERAGE(AE33:AE39))</f>
        <v>152.16666666666666</v>
      </c>
      <c r="AF48" s="138">
        <f>IF(AF33=0,"no data", AVERAGE(AF33:AF39))</f>
        <v>0.92568426785919045</v>
      </c>
      <c r="AG48" s="140">
        <f>IF(AG33=0,"no data", AVERAGE(AG33:AG39))</f>
        <v>148.59722222222223</v>
      </c>
      <c r="AH48" s="138">
        <f>IF(AH33=0,"no data", AVERAGE(AH33:AH39))</f>
        <v>0.91813334199046592</v>
      </c>
      <c r="AI48" s="138">
        <f>IF(AI27=0,"no data", AVERAGE(AI33:AI39))</f>
        <v>0.97399328859060397</v>
      </c>
      <c r="AJ48" s="138">
        <f>IF(AJ33=0,"no data", AVERAGE(AJ33:AJ39))</f>
        <v>0.94701302967122725</v>
      </c>
      <c r="AK48" s="139">
        <f>IF(AK33=0,"no data", SUM(AK33:AK39))</f>
        <v>57.335000000000001</v>
      </c>
      <c r="AL48" s="140">
        <f>IF(AL33=0,"no data", AVERAGE(AL33:AL39))</f>
        <v>136.25166666666667</v>
      </c>
      <c r="AM48" s="140">
        <f>AK48*AL48</f>
        <v>7811.9893083333336</v>
      </c>
      <c r="AN48" s="140">
        <f>IF(AN33=0,"no data", SUM(AN33:AN39))</f>
        <v>170.40199999999999</v>
      </c>
      <c r="AO48" s="140">
        <f>IF(AO33=0,"no data", AVERAGE(AO33:AO39))</f>
        <v>962.15894719000505</v>
      </c>
      <c r="AP48" s="140">
        <f>AN48*AO48</f>
        <v>163953.80891907122</v>
      </c>
      <c r="AQ48" s="140">
        <f>IF(AQ33=0,"no data", AVERAGE(AQ33:AQ39))</f>
        <v>8751.9827469995162</v>
      </c>
      <c r="AR48" s="135"/>
      <c r="AS48" s="136"/>
      <c r="BA48" s="113"/>
      <c r="BC48" s="114"/>
      <c r="BS48" s="4"/>
      <c r="BT48" s="5"/>
      <c r="BU48" s="5"/>
      <c r="BV48" s="6"/>
    </row>
    <row r="49" spans="2:74">
      <c r="B49" s="147"/>
      <c r="C49" s="148"/>
      <c r="D49" s="148"/>
      <c r="E49" s="148"/>
      <c r="F49" s="148"/>
      <c r="G49" s="149"/>
      <c r="H49" s="149"/>
      <c r="I49" s="149"/>
      <c r="J49" s="149"/>
      <c r="K49" s="150"/>
      <c r="L49" s="150"/>
      <c r="M49" s="150"/>
      <c r="N49" s="150"/>
      <c r="O49" s="151"/>
      <c r="P49" s="151"/>
      <c r="Q49" s="148"/>
      <c r="R49" s="148"/>
      <c r="S49" s="148"/>
      <c r="T49" s="148"/>
      <c r="U49" s="148"/>
      <c r="V49" s="148"/>
      <c r="W49" s="148"/>
      <c r="X49" s="148"/>
      <c r="Y49" s="148"/>
      <c r="Z49" s="148"/>
      <c r="AA49" s="148"/>
      <c r="AB49" s="148"/>
      <c r="AC49" s="151"/>
      <c r="AD49" s="151"/>
      <c r="AE49" s="148"/>
      <c r="AF49" s="151"/>
      <c r="AG49" s="151"/>
      <c r="AH49" s="148"/>
      <c r="AI49" s="148"/>
      <c r="AJ49" s="148"/>
      <c r="AK49" s="148"/>
      <c r="AL49" s="148"/>
      <c r="AM49" s="148"/>
      <c r="AQ49" s="126"/>
      <c r="AR49" s="126"/>
      <c r="AS49" s="126"/>
      <c r="AT49" s="126"/>
      <c r="BA49" s="113"/>
      <c r="BC49" s="114"/>
      <c r="BS49" s="4"/>
      <c r="BT49" s="5"/>
      <c r="BU49" s="5"/>
      <c r="BV49" s="6"/>
    </row>
    <row r="50" spans="2:74" ht="15.75" thickBot="1">
      <c r="B50" s="147"/>
      <c r="C50" s="148"/>
      <c r="D50" s="148"/>
      <c r="E50" s="148"/>
      <c r="F50" s="148"/>
      <c r="G50" s="149"/>
      <c r="H50" s="149"/>
      <c r="I50" s="149"/>
      <c r="J50" s="149"/>
      <c r="K50" s="150"/>
      <c r="L50" s="150"/>
      <c r="M50" s="150"/>
      <c r="N50" s="150"/>
      <c r="O50" s="151"/>
      <c r="P50" s="151"/>
      <c r="Q50" s="148"/>
      <c r="R50" s="148"/>
      <c r="S50" s="148"/>
      <c r="T50" s="148"/>
      <c r="U50" s="148"/>
      <c r="V50" s="148"/>
      <c r="W50" s="148"/>
      <c r="X50" s="148"/>
      <c r="Y50" s="148"/>
      <c r="Z50" s="148"/>
      <c r="AA50" s="148"/>
      <c r="AB50" s="148"/>
      <c r="AC50" s="151"/>
      <c r="AD50" s="151"/>
      <c r="AE50" s="148"/>
      <c r="AF50" s="151"/>
      <c r="AG50" s="151"/>
      <c r="AH50" s="148"/>
      <c r="AI50" s="148"/>
      <c r="AJ50" s="148"/>
      <c r="AK50" s="148"/>
      <c r="AL50" s="148"/>
      <c r="AM50" s="148"/>
      <c r="AQ50" s="126"/>
      <c r="AR50" s="126"/>
      <c r="AS50" s="126"/>
      <c r="AT50" s="126"/>
      <c r="BA50" s="113"/>
      <c r="BC50" s="114"/>
      <c r="BS50" s="4"/>
      <c r="BT50" s="5"/>
      <c r="BU50" s="5"/>
      <c r="BV50" s="6"/>
    </row>
    <row r="51" spans="2:74" ht="16.5" thickTop="1">
      <c r="B51" s="152" t="s">
        <v>121</v>
      </c>
      <c r="C51" s="430" t="s">
        <v>122</v>
      </c>
      <c r="D51" s="431"/>
      <c r="E51" s="431"/>
      <c r="F51" s="431"/>
      <c r="G51" s="431"/>
      <c r="H51" s="431"/>
      <c r="I51" s="431"/>
      <c r="J51" s="431"/>
      <c r="K51" s="431"/>
      <c r="L51" s="431"/>
      <c r="M51" s="431"/>
      <c r="N51" s="431"/>
      <c r="O51" s="431"/>
      <c r="P51" s="431"/>
      <c r="Q51" s="431"/>
      <c r="R51" s="431"/>
      <c r="S51" s="431"/>
      <c r="T51" s="431"/>
      <c r="U51" s="431"/>
      <c r="V51" s="431"/>
      <c r="W51" s="431"/>
      <c r="X51" s="431"/>
      <c r="Y51" s="431"/>
      <c r="Z51" s="431"/>
      <c r="AA51" s="431"/>
      <c r="AB51" s="431"/>
      <c r="AC51" s="431"/>
      <c r="AD51" s="431"/>
      <c r="AE51" s="432"/>
      <c r="AF51" s="151"/>
      <c r="AG51" s="151"/>
      <c r="AH51" s="148"/>
      <c r="AI51" s="148"/>
      <c r="AJ51" s="148"/>
      <c r="AK51" s="148"/>
      <c r="AL51" s="148"/>
      <c r="AM51" s="148"/>
      <c r="AQ51" s="126"/>
      <c r="AR51" s="126"/>
      <c r="AS51" s="126"/>
      <c r="AT51" s="126"/>
      <c r="BA51" s="113"/>
      <c r="BS51" s="4"/>
      <c r="BT51" s="5"/>
      <c r="BU51" s="5"/>
      <c r="BV51" s="6"/>
    </row>
    <row r="52" spans="2:74" ht="15.75">
      <c r="B52" s="153">
        <v>43160</v>
      </c>
      <c r="C52" s="416" t="s">
        <v>123</v>
      </c>
      <c r="D52" s="417"/>
      <c r="E52" s="417"/>
      <c r="F52" s="417"/>
      <c r="G52" s="417"/>
      <c r="H52" s="417"/>
      <c r="I52" s="417"/>
      <c r="J52" s="417"/>
      <c r="K52" s="417"/>
      <c r="L52" s="417"/>
      <c r="M52" s="417"/>
      <c r="N52" s="417"/>
      <c r="O52" s="417"/>
      <c r="P52" s="417"/>
      <c r="Q52" s="417"/>
      <c r="R52" s="417"/>
      <c r="S52" s="417"/>
      <c r="T52" s="417"/>
      <c r="U52" s="417"/>
      <c r="V52" s="417"/>
      <c r="W52" s="417"/>
      <c r="X52" s="417"/>
      <c r="Y52" s="417"/>
      <c r="Z52" s="417"/>
      <c r="AA52" s="417"/>
      <c r="AB52" s="417"/>
      <c r="AC52" s="417"/>
      <c r="AD52" s="417"/>
      <c r="AE52" s="418"/>
      <c r="AF52" s="151"/>
      <c r="AG52" s="151"/>
      <c r="AH52" s="148"/>
      <c r="AI52" s="148"/>
      <c r="AJ52" s="148"/>
      <c r="AK52" s="148"/>
      <c r="AL52" s="148"/>
      <c r="AM52" s="148"/>
      <c r="AQ52" s="126"/>
      <c r="AR52" s="126"/>
      <c r="AS52" s="126"/>
      <c r="AT52" s="126"/>
      <c r="BA52" s="113"/>
      <c r="BS52" s="4"/>
      <c r="BT52" s="5"/>
      <c r="BU52" s="5"/>
      <c r="BV52" s="6"/>
    </row>
    <row r="53" spans="2:74" ht="15.75">
      <c r="B53" s="153">
        <v>43161</v>
      </c>
      <c r="C53" s="416" t="s">
        <v>123</v>
      </c>
      <c r="D53" s="417"/>
      <c r="E53" s="417"/>
      <c r="F53" s="417"/>
      <c r="G53" s="417"/>
      <c r="H53" s="417"/>
      <c r="I53" s="417"/>
      <c r="J53" s="417"/>
      <c r="K53" s="417"/>
      <c r="L53" s="417"/>
      <c r="M53" s="417"/>
      <c r="N53" s="417"/>
      <c r="O53" s="417"/>
      <c r="P53" s="417"/>
      <c r="Q53" s="417"/>
      <c r="R53" s="417"/>
      <c r="S53" s="417"/>
      <c r="T53" s="417"/>
      <c r="U53" s="417"/>
      <c r="V53" s="417"/>
      <c r="W53" s="417"/>
      <c r="X53" s="417"/>
      <c r="Y53" s="417"/>
      <c r="Z53" s="417"/>
      <c r="AA53" s="417"/>
      <c r="AB53" s="417"/>
      <c r="AC53" s="417"/>
      <c r="AD53" s="417"/>
      <c r="AE53" s="418"/>
      <c r="AF53" s="151"/>
      <c r="AG53" s="151"/>
      <c r="AH53" s="148"/>
      <c r="AI53" s="148"/>
      <c r="AJ53" s="148"/>
      <c r="AK53" s="148"/>
      <c r="AL53" s="148"/>
      <c r="AM53" s="148"/>
      <c r="AQ53" s="126"/>
      <c r="AR53" s="126"/>
      <c r="AS53" s="126"/>
      <c r="AT53" s="126"/>
      <c r="BA53" s="113"/>
      <c r="BS53" s="4"/>
      <c r="BT53" s="5"/>
      <c r="BU53" s="5"/>
      <c r="BV53" s="6"/>
    </row>
    <row r="54" spans="2:74" ht="15.75">
      <c r="B54" s="153">
        <v>43162</v>
      </c>
      <c r="C54" s="416" t="s">
        <v>123</v>
      </c>
      <c r="D54" s="417"/>
      <c r="E54" s="417"/>
      <c r="F54" s="417"/>
      <c r="G54" s="417"/>
      <c r="H54" s="417"/>
      <c r="I54" s="417"/>
      <c r="J54" s="417"/>
      <c r="K54" s="417"/>
      <c r="L54" s="417"/>
      <c r="M54" s="417"/>
      <c r="N54" s="417"/>
      <c r="O54" s="417"/>
      <c r="P54" s="417"/>
      <c r="Q54" s="417"/>
      <c r="R54" s="417"/>
      <c r="S54" s="417"/>
      <c r="T54" s="417"/>
      <c r="U54" s="417"/>
      <c r="V54" s="417"/>
      <c r="W54" s="417"/>
      <c r="X54" s="417"/>
      <c r="Y54" s="417"/>
      <c r="Z54" s="417"/>
      <c r="AA54" s="417"/>
      <c r="AB54" s="417"/>
      <c r="AC54" s="417"/>
      <c r="AD54" s="417"/>
      <c r="AE54" s="418"/>
      <c r="AF54" s="151"/>
      <c r="AG54" s="151"/>
      <c r="AH54" s="148"/>
      <c r="AI54" s="148"/>
      <c r="AJ54" s="148"/>
      <c r="AK54" s="148"/>
      <c r="AL54" s="148"/>
      <c r="AM54" s="148"/>
      <c r="AQ54" s="126"/>
      <c r="AR54" s="126"/>
      <c r="AS54" s="126"/>
      <c r="AT54" s="126"/>
      <c r="BA54" s="113"/>
      <c r="BS54" s="4"/>
      <c r="BT54" s="5"/>
      <c r="BU54" s="5"/>
      <c r="BV54" s="6"/>
    </row>
    <row r="55" spans="2:74" ht="15.75">
      <c r="B55" s="153">
        <v>43163</v>
      </c>
      <c r="C55" s="416" t="s">
        <v>166</v>
      </c>
      <c r="D55" s="417"/>
      <c r="E55" s="417"/>
      <c r="F55" s="417"/>
      <c r="G55" s="417"/>
      <c r="H55" s="417"/>
      <c r="I55" s="417"/>
      <c r="J55" s="417"/>
      <c r="K55" s="417"/>
      <c r="L55" s="417"/>
      <c r="M55" s="417"/>
      <c r="N55" s="417"/>
      <c r="O55" s="417"/>
      <c r="P55" s="417"/>
      <c r="Q55" s="417"/>
      <c r="R55" s="417"/>
      <c r="S55" s="417"/>
      <c r="T55" s="417"/>
      <c r="U55" s="417"/>
      <c r="V55" s="417"/>
      <c r="W55" s="417"/>
      <c r="X55" s="417"/>
      <c r="Y55" s="417"/>
      <c r="Z55" s="417"/>
      <c r="AA55" s="417"/>
      <c r="AB55" s="417"/>
      <c r="AC55" s="417"/>
      <c r="AD55" s="417"/>
      <c r="AE55" s="418"/>
      <c r="AF55" s="151"/>
      <c r="AG55" s="151"/>
      <c r="AH55" s="148"/>
      <c r="AI55" s="148"/>
      <c r="AJ55" s="148"/>
      <c r="AK55" s="148"/>
      <c r="AL55" s="148"/>
      <c r="AM55" s="148"/>
      <c r="AQ55" s="126"/>
      <c r="AR55" s="126"/>
      <c r="AS55" s="126"/>
      <c r="AT55" s="126"/>
      <c r="BA55" s="113"/>
      <c r="BS55" s="4"/>
      <c r="BT55" s="5"/>
      <c r="BU55" s="5"/>
      <c r="BV55" s="6"/>
    </row>
    <row r="56" spans="2:74" ht="15.75" customHeight="1">
      <c r="B56" s="153">
        <v>43164</v>
      </c>
      <c r="C56" s="416" t="s">
        <v>123</v>
      </c>
      <c r="D56" s="417"/>
      <c r="E56" s="417"/>
      <c r="F56" s="417"/>
      <c r="G56" s="417"/>
      <c r="H56" s="417"/>
      <c r="I56" s="417"/>
      <c r="J56" s="417"/>
      <c r="K56" s="417"/>
      <c r="L56" s="417"/>
      <c r="M56" s="417"/>
      <c r="N56" s="417"/>
      <c r="O56" s="417"/>
      <c r="P56" s="417"/>
      <c r="Q56" s="417"/>
      <c r="R56" s="417"/>
      <c r="S56" s="417"/>
      <c r="T56" s="417"/>
      <c r="U56" s="417"/>
      <c r="V56" s="417"/>
      <c r="W56" s="417"/>
      <c r="X56" s="417"/>
      <c r="Y56" s="417"/>
      <c r="Z56" s="417"/>
      <c r="AA56" s="417"/>
      <c r="AB56" s="417"/>
      <c r="AC56" s="417"/>
      <c r="AD56" s="417"/>
      <c r="AE56" s="418"/>
      <c r="AF56" s="151"/>
      <c r="AG56" s="151"/>
      <c r="AH56" s="148"/>
      <c r="AI56" s="148"/>
      <c r="AJ56" s="148"/>
      <c r="AK56" s="148"/>
      <c r="AL56" s="148"/>
      <c r="AM56" s="148"/>
      <c r="AQ56" s="126"/>
      <c r="AR56" s="126"/>
      <c r="AS56" s="126"/>
      <c r="AT56" s="126"/>
      <c r="BA56" s="113"/>
      <c r="BS56" s="4"/>
      <c r="BT56" s="5"/>
      <c r="BU56" s="5"/>
      <c r="BV56" s="6"/>
    </row>
    <row r="57" spans="2:74" ht="15.75">
      <c r="B57" s="153">
        <v>43165</v>
      </c>
      <c r="C57" s="416" t="s">
        <v>123</v>
      </c>
      <c r="D57" s="417"/>
      <c r="E57" s="417"/>
      <c r="F57" s="417"/>
      <c r="G57" s="417"/>
      <c r="H57" s="417"/>
      <c r="I57" s="417"/>
      <c r="J57" s="417"/>
      <c r="K57" s="417"/>
      <c r="L57" s="417"/>
      <c r="M57" s="417"/>
      <c r="N57" s="417"/>
      <c r="O57" s="417"/>
      <c r="P57" s="417"/>
      <c r="Q57" s="417"/>
      <c r="R57" s="417"/>
      <c r="S57" s="417"/>
      <c r="T57" s="417"/>
      <c r="U57" s="417"/>
      <c r="V57" s="417"/>
      <c r="W57" s="417"/>
      <c r="X57" s="417"/>
      <c r="Y57" s="417"/>
      <c r="Z57" s="417"/>
      <c r="AA57" s="417"/>
      <c r="AB57" s="417"/>
      <c r="AC57" s="417"/>
      <c r="AD57" s="417"/>
      <c r="AE57" s="418"/>
      <c r="AF57" s="151"/>
      <c r="AG57" s="151"/>
      <c r="AH57" s="148"/>
      <c r="AI57" s="148"/>
      <c r="AJ57" s="148"/>
      <c r="AK57" s="148"/>
      <c r="AL57" s="148"/>
      <c r="AM57" s="148"/>
      <c r="AQ57" s="126"/>
      <c r="AR57" s="126"/>
      <c r="AS57" s="126"/>
      <c r="AT57" s="126"/>
      <c r="BA57" s="113"/>
      <c r="BS57" s="4"/>
      <c r="BT57" s="5"/>
      <c r="BU57" s="5"/>
      <c r="BV57" s="6"/>
    </row>
    <row r="58" spans="2:74" ht="15.75">
      <c r="B58" s="153">
        <v>43166</v>
      </c>
      <c r="C58" s="416" t="s">
        <v>123</v>
      </c>
      <c r="D58" s="417"/>
      <c r="E58" s="417"/>
      <c r="F58" s="417"/>
      <c r="G58" s="417"/>
      <c r="H58" s="417"/>
      <c r="I58" s="417"/>
      <c r="J58" s="417"/>
      <c r="K58" s="417"/>
      <c r="L58" s="417"/>
      <c r="M58" s="417"/>
      <c r="N58" s="417"/>
      <c r="O58" s="417"/>
      <c r="P58" s="417"/>
      <c r="Q58" s="417"/>
      <c r="R58" s="417"/>
      <c r="S58" s="417"/>
      <c r="T58" s="417"/>
      <c r="U58" s="417"/>
      <c r="V58" s="417"/>
      <c r="W58" s="417"/>
      <c r="X58" s="417"/>
      <c r="Y58" s="417"/>
      <c r="Z58" s="417"/>
      <c r="AA58" s="417"/>
      <c r="AB58" s="417"/>
      <c r="AC58" s="417"/>
      <c r="AD58" s="417"/>
      <c r="AE58" s="418"/>
      <c r="AF58" s="151"/>
      <c r="AG58" s="151"/>
      <c r="AH58" s="148"/>
      <c r="AI58" s="148"/>
      <c r="AJ58" s="148"/>
      <c r="AK58" s="148"/>
      <c r="AL58" s="148"/>
      <c r="AM58" s="148"/>
      <c r="AQ58" s="126"/>
      <c r="AR58" s="126"/>
      <c r="AS58" s="126"/>
      <c r="AT58" s="126"/>
      <c r="BA58" s="113"/>
      <c r="BS58" s="4"/>
      <c r="BT58" s="5"/>
      <c r="BU58" s="5"/>
      <c r="BV58" s="6"/>
    </row>
    <row r="59" spans="2:74" ht="15.75" customHeight="1">
      <c r="B59" s="153">
        <v>43167</v>
      </c>
      <c r="C59" s="416" t="s">
        <v>167</v>
      </c>
      <c r="D59" s="417"/>
      <c r="E59" s="417"/>
      <c r="F59" s="417"/>
      <c r="G59" s="417"/>
      <c r="H59" s="417"/>
      <c r="I59" s="417"/>
      <c r="J59" s="417"/>
      <c r="K59" s="417"/>
      <c r="L59" s="417"/>
      <c r="M59" s="417"/>
      <c r="N59" s="417"/>
      <c r="O59" s="417"/>
      <c r="P59" s="417"/>
      <c r="Q59" s="417"/>
      <c r="R59" s="417"/>
      <c r="S59" s="417"/>
      <c r="T59" s="417"/>
      <c r="U59" s="417"/>
      <c r="V59" s="417"/>
      <c r="W59" s="417"/>
      <c r="X59" s="417"/>
      <c r="Y59" s="417"/>
      <c r="Z59" s="417"/>
      <c r="AA59" s="417"/>
      <c r="AB59" s="417"/>
      <c r="AC59" s="417"/>
      <c r="AD59" s="417"/>
      <c r="AE59" s="418"/>
      <c r="AF59" s="151"/>
      <c r="AG59" s="151"/>
      <c r="AH59" s="148"/>
      <c r="AI59" s="148"/>
      <c r="AJ59" s="148"/>
      <c r="AK59" s="148"/>
      <c r="AL59" s="148"/>
      <c r="AM59" s="148"/>
      <c r="AQ59" s="126"/>
      <c r="AR59" s="126"/>
      <c r="AS59" s="126"/>
      <c r="AT59" s="126"/>
      <c r="BA59" s="113"/>
      <c r="BS59" s="4"/>
      <c r="BT59" s="5"/>
      <c r="BU59" s="5"/>
      <c r="BV59" s="6"/>
    </row>
    <row r="60" spans="2:74" ht="15.75">
      <c r="B60" s="153">
        <v>43168</v>
      </c>
      <c r="C60" s="416" t="s">
        <v>168</v>
      </c>
      <c r="D60" s="417"/>
      <c r="E60" s="417"/>
      <c r="F60" s="417"/>
      <c r="G60" s="417"/>
      <c r="H60" s="417"/>
      <c r="I60" s="417"/>
      <c r="J60" s="417"/>
      <c r="K60" s="417"/>
      <c r="L60" s="417"/>
      <c r="M60" s="417"/>
      <c r="N60" s="417"/>
      <c r="O60" s="417"/>
      <c r="P60" s="417"/>
      <c r="Q60" s="417"/>
      <c r="R60" s="417"/>
      <c r="S60" s="417"/>
      <c r="T60" s="417"/>
      <c r="U60" s="417"/>
      <c r="V60" s="417"/>
      <c r="W60" s="417"/>
      <c r="X60" s="417"/>
      <c r="Y60" s="417"/>
      <c r="Z60" s="417"/>
      <c r="AA60" s="417"/>
      <c r="AB60" s="417"/>
      <c r="AC60" s="417"/>
      <c r="AD60" s="417"/>
      <c r="AE60" s="418"/>
      <c r="AF60" s="151"/>
      <c r="AG60" s="151"/>
      <c r="AH60" s="148"/>
      <c r="AI60" s="148"/>
      <c r="AJ60" s="148"/>
      <c r="AK60" s="148"/>
      <c r="AL60" s="148"/>
      <c r="AM60" s="148"/>
      <c r="AQ60" s="126"/>
      <c r="AR60" s="126"/>
      <c r="AS60" s="126"/>
      <c r="AT60" s="126"/>
      <c r="BA60" s="113"/>
      <c r="BS60" s="4"/>
      <c r="BT60" s="5"/>
      <c r="BU60" s="5"/>
      <c r="BV60" s="6"/>
    </row>
    <row r="61" spans="2:74" ht="15.75">
      <c r="B61" s="153">
        <v>43169</v>
      </c>
      <c r="C61" s="416" t="s">
        <v>123</v>
      </c>
      <c r="D61" s="417"/>
      <c r="E61" s="417"/>
      <c r="F61" s="417"/>
      <c r="G61" s="417"/>
      <c r="H61" s="417"/>
      <c r="I61" s="417"/>
      <c r="J61" s="417"/>
      <c r="K61" s="417"/>
      <c r="L61" s="417"/>
      <c r="M61" s="417"/>
      <c r="N61" s="417"/>
      <c r="O61" s="417"/>
      <c r="P61" s="417"/>
      <c r="Q61" s="417"/>
      <c r="R61" s="417"/>
      <c r="S61" s="417"/>
      <c r="T61" s="417"/>
      <c r="U61" s="417"/>
      <c r="V61" s="417"/>
      <c r="W61" s="417"/>
      <c r="X61" s="417"/>
      <c r="Y61" s="417"/>
      <c r="Z61" s="417"/>
      <c r="AA61" s="417"/>
      <c r="AB61" s="417"/>
      <c r="AC61" s="417"/>
      <c r="AD61" s="417"/>
      <c r="AE61" s="418"/>
      <c r="AF61" s="151"/>
      <c r="AG61" s="151"/>
      <c r="AH61" s="148"/>
      <c r="AI61" s="148"/>
      <c r="AJ61" s="148"/>
      <c r="AK61" s="148"/>
      <c r="AL61" s="148"/>
      <c r="AM61" s="148"/>
      <c r="AQ61" s="126"/>
      <c r="AR61" s="126"/>
      <c r="AS61" s="126"/>
      <c r="AT61" s="126"/>
      <c r="BA61" s="113"/>
      <c r="BS61" s="4"/>
      <c r="BT61" s="5"/>
      <c r="BU61" s="5"/>
      <c r="BV61" s="6"/>
    </row>
    <row r="62" spans="2:74" ht="15.75">
      <c r="B62" s="153">
        <v>43170</v>
      </c>
      <c r="C62" s="416" t="s">
        <v>169</v>
      </c>
      <c r="D62" s="417"/>
      <c r="E62" s="417"/>
      <c r="F62" s="417"/>
      <c r="G62" s="417"/>
      <c r="H62" s="417"/>
      <c r="I62" s="417"/>
      <c r="J62" s="417"/>
      <c r="K62" s="417"/>
      <c r="L62" s="417"/>
      <c r="M62" s="417"/>
      <c r="N62" s="417"/>
      <c r="O62" s="417"/>
      <c r="P62" s="417"/>
      <c r="Q62" s="417"/>
      <c r="R62" s="417"/>
      <c r="S62" s="417"/>
      <c r="T62" s="417"/>
      <c r="U62" s="417"/>
      <c r="V62" s="417"/>
      <c r="W62" s="417"/>
      <c r="X62" s="417"/>
      <c r="Y62" s="417"/>
      <c r="Z62" s="417"/>
      <c r="AA62" s="417"/>
      <c r="AB62" s="417"/>
      <c r="AC62" s="417"/>
      <c r="AD62" s="417"/>
      <c r="AE62" s="418"/>
      <c r="AF62" s="151"/>
      <c r="AG62" s="151"/>
      <c r="AH62" s="148"/>
      <c r="AI62" s="148"/>
      <c r="AJ62" s="148"/>
      <c r="AK62" s="148"/>
      <c r="AL62" s="148"/>
      <c r="AM62" s="148"/>
      <c r="AQ62" s="126"/>
      <c r="AR62" s="126"/>
      <c r="AS62" s="126"/>
      <c r="AT62" s="126"/>
      <c r="BA62" s="113"/>
      <c r="BS62" s="4"/>
      <c r="BT62" s="5"/>
      <c r="BU62" s="5"/>
      <c r="BV62" s="6"/>
    </row>
    <row r="63" spans="2:74" ht="15.75">
      <c r="B63" s="153">
        <v>43171</v>
      </c>
      <c r="C63" s="416" t="s">
        <v>170</v>
      </c>
      <c r="D63" s="417"/>
      <c r="E63" s="417"/>
      <c r="F63" s="417"/>
      <c r="G63" s="417"/>
      <c r="H63" s="417"/>
      <c r="I63" s="417"/>
      <c r="J63" s="417"/>
      <c r="K63" s="417"/>
      <c r="L63" s="417"/>
      <c r="M63" s="417"/>
      <c r="N63" s="417"/>
      <c r="O63" s="417"/>
      <c r="P63" s="417"/>
      <c r="Q63" s="417"/>
      <c r="R63" s="417"/>
      <c r="S63" s="417"/>
      <c r="T63" s="417"/>
      <c r="U63" s="417"/>
      <c r="V63" s="417"/>
      <c r="W63" s="417"/>
      <c r="X63" s="417"/>
      <c r="Y63" s="417"/>
      <c r="Z63" s="417"/>
      <c r="AA63" s="417"/>
      <c r="AB63" s="417"/>
      <c r="AC63" s="417"/>
      <c r="AD63" s="417"/>
      <c r="AE63" s="418"/>
      <c r="AF63" s="151"/>
      <c r="AG63" s="151"/>
      <c r="AH63" s="148"/>
      <c r="AI63" s="148"/>
      <c r="AJ63" s="148"/>
      <c r="AK63" s="148"/>
      <c r="AL63" s="148"/>
      <c r="AM63" s="148"/>
      <c r="AQ63" s="126"/>
      <c r="AR63" s="126"/>
      <c r="AS63" s="126"/>
      <c r="AT63" s="126"/>
      <c r="BA63" s="113"/>
      <c r="BS63" s="4"/>
      <c r="BT63" s="5"/>
      <c r="BU63" s="5"/>
      <c r="BV63" s="6"/>
    </row>
    <row r="64" spans="2:74" ht="15.75">
      <c r="B64" s="153">
        <v>43172</v>
      </c>
      <c r="C64" s="416" t="s">
        <v>123</v>
      </c>
      <c r="D64" s="417"/>
      <c r="E64" s="417"/>
      <c r="F64" s="417"/>
      <c r="G64" s="417"/>
      <c r="H64" s="417"/>
      <c r="I64" s="417"/>
      <c r="J64" s="417"/>
      <c r="K64" s="417"/>
      <c r="L64" s="417"/>
      <c r="M64" s="417"/>
      <c r="N64" s="417"/>
      <c r="O64" s="417"/>
      <c r="P64" s="417"/>
      <c r="Q64" s="417"/>
      <c r="R64" s="417"/>
      <c r="S64" s="417"/>
      <c r="T64" s="417"/>
      <c r="U64" s="417"/>
      <c r="V64" s="417"/>
      <c r="W64" s="417"/>
      <c r="X64" s="417"/>
      <c r="Y64" s="417"/>
      <c r="Z64" s="417"/>
      <c r="AA64" s="417"/>
      <c r="AB64" s="417"/>
      <c r="AC64" s="417"/>
      <c r="AD64" s="417"/>
      <c r="AE64" s="418"/>
      <c r="AF64" s="151"/>
      <c r="AG64" s="151"/>
      <c r="AH64" s="148"/>
      <c r="AI64" s="148"/>
      <c r="AJ64" s="148"/>
      <c r="AK64" s="148"/>
      <c r="AL64" s="148"/>
      <c r="AM64" s="148"/>
      <c r="AQ64" s="126"/>
      <c r="AR64" s="126"/>
      <c r="AS64" s="126"/>
      <c r="AT64" s="126"/>
      <c r="BA64" s="113"/>
      <c r="BS64" s="4"/>
      <c r="BT64" s="5"/>
      <c r="BU64" s="5"/>
      <c r="BV64" s="6"/>
    </row>
    <row r="65" spans="2:74" ht="15.75">
      <c r="B65" s="153">
        <v>43173</v>
      </c>
      <c r="C65" s="416" t="s">
        <v>123</v>
      </c>
      <c r="D65" s="417"/>
      <c r="E65" s="417"/>
      <c r="F65" s="417"/>
      <c r="G65" s="417"/>
      <c r="H65" s="417"/>
      <c r="I65" s="417"/>
      <c r="J65" s="417"/>
      <c r="K65" s="417"/>
      <c r="L65" s="417"/>
      <c r="M65" s="417"/>
      <c r="N65" s="417"/>
      <c r="O65" s="417"/>
      <c r="P65" s="417"/>
      <c r="Q65" s="417"/>
      <c r="R65" s="417"/>
      <c r="S65" s="417"/>
      <c r="T65" s="417"/>
      <c r="U65" s="417"/>
      <c r="V65" s="417"/>
      <c r="W65" s="417"/>
      <c r="X65" s="417"/>
      <c r="Y65" s="417"/>
      <c r="Z65" s="417"/>
      <c r="AA65" s="417"/>
      <c r="AB65" s="417"/>
      <c r="AC65" s="417"/>
      <c r="AD65" s="417"/>
      <c r="AE65" s="418"/>
      <c r="AF65" s="151"/>
      <c r="AG65" s="151"/>
      <c r="AH65" s="148"/>
      <c r="AI65" s="148"/>
      <c r="AJ65" s="148"/>
      <c r="AK65" s="148"/>
      <c r="AL65" s="148"/>
      <c r="AM65" s="148"/>
      <c r="AQ65" s="126"/>
      <c r="AR65" s="126"/>
      <c r="AS65" s="126"/>
      <c r="AT65" s="126"/>
      <c r="BA65" s="113"/>
      <c r="BS65" s="4"/>
      <c r="BT65" s="5"/>
      <c r="BU65" s="5"/>
      <c r="BV65" s="6"/>
    </row>
    <row r="66" spans="2:74" ht="15.75">
      <c r="B66" s="153">
        <v>43174</v>
      </c>
      <c r="C66" s="416" t="s">
        <v>123</v>
      </c>
      <c r="D66" s="417"/>
      <c r="E66" s="417"/>
      <c r="F66" s="417"/>
      <c r="G66" s="417"/>
      <c r="H66" s="417"/>
      <c r="I66" s="417"/>
      <c r="J66" s="417"/>
      <c r="K66" s="417"/>
      <c r="L66" s="417"/>
      <c r="M66" s="417"/>
      <c r="N66" s="417"/>
      <c r="O66" s="417"/>
      <c r="P66" s="417"/>
      <c r="Q66" s="417"/>
      <c r="R66" s="417"/>
      <c r="S66" s="417"/>
      <c r="T66" s="417"/>
      <c r="U66" s="417"/>
      <c r="V66" s="417"/>
      <c r="W66" s="417"/>
      <c r="X66" s="417"/>
      <c r="Y66" s="417"/>
      <c r="Z66" s="417"/>
      <c r="AA66" s="417"/>
      <c r="AB66" s="417"/>
      <c r="AC66" s="417"/>
      <c r="AD66" s="417"/>
      <c r="AE66" s="418"/>
      <c r="AF66" s="151"/>
      <c r="AG66" s="151"/>
      <c r="AH66" s="148"/>
      <c r="AI66" s="148"/>
      <c r="AJ66" s="148"/>
      <c r="AK66" s="148"/>
      <c r="AL66" s="148"/>
      <c r="AM66" s="148"/>
      <c r="AQ66" s="126"/>
      <c r="AR66" s="126"/>
      <c r="AS66" s="126"/>
      <c r="AT66" s="126"/>
      <c r="BA66" s="113"/>
      <c r="BS66" s="4"/>
      <c r="BT66" s="5"/>
      <c r="BU66" s="5"/>
      <c r="BV66" s="6"/>
    </row>
    <row r="67" spans="2:74" ht="15.75">
      <c r="B67" s="153">
        <v>43175</v>
      </c>
      <c r="C67" s="416" t="s">
        <v>123</v>
      </c>
      <c r="D67" s="417"/>
      <c r="E67" s="417"/>
      <c r="F67" s="417"/>
      <c r="G67" s="417"/>
      <c r="H67" s="417"/>
      <c r="I67" s="417"/>
      <c r="J67" s="417"/>
      <c r="K67" s="417"/>
      <c r="L67" s="417"/>
      <c r="M67" s="417"/>
      <c r="N67" s="417"/>
      <c r="O67" s="417"/>
      <c r="P67" s="417"/>
      <c r="Q67" s="417"/>
      <c r="R67" s="417"/>
      <c r="S67" s="417"/>
      <c r="T67" s="417"/>
      <c r="U67" s="417"/>
      <c r="V67" s="417"/>
      <c r="W67" s="417"/>
      <c r="X67" s="417"/>
      <c r="Y67" s="417"/>
      <c r="Z67" s="417"/>
      <c r="AA67" s="417"/>
      <c r="AB67" s="417"/>
      <c r="AC67" s="417"/>
      <c r="AD67" s="417"/>
      <c r="AE67" s="418"/>
      <c r="AF67" s="151"/>
      <c r="AG67" s="151"/>
      <c r="AH67" s="148"/>
      <c r="AI67" s="148"/>
      <c r="AJ67" s="148"/>
      <c r="AK67" s="148"/>
      <c r="AL67" s="148"/>
      <c r="AM67" s="148"/>
      <c r="AQ67" s="126"/>
      <c r="AR67" s="126"/>
      <c r="AS67" s="126"/>
      <c r="AT67" s="126"/>
      <c r="BA67" s="113"/>
      <c r="BS67" s="4"/>
      <c r="BT67" s="5"/>
      <c r="BU67" s="5"/>
      <c r="BV67" s="6"/>
    </row>
    <row r="68" spans="2:74" ht="15.75">
      <c r="B68" s="153">
        <v>43176</v>
      </c>
      <c r="C68" s="416" t="s">
        <v>171</v>
      </c>
      <c r="D68" s="417"/>
      <c r="E68" s="417"/>
      <c r="F68" s="417"/>
      <c r="G68" s="417"/>
      <c r="H68" s="417"/>
      <c r="I68" s="417"/>
      <c r="J68" s="417"/>
      <c r="K68" s="417"/>
      <c r="L68" s="417"/>
      <c r="M68" s="417"/>
      <c r="N68" s="417"/>
      <c r="O68" s="417"/>
      <c r="P68" s="417"/>
      <c r="Q68" s="417"/>
      <c r="R68" s="417"/>
      <c r="S68" s="417"/>
      <c r="T68" s="417"/>
      <c r="U68" s="417"/>
      <c r="V68" s="417"/>
      <c r="W68" s="417"/>
      <c r="X68" s="417"/>
      <c r="Y68" s="417"/>
      <c r="Z68" s="417"/>
      <c r="AA68" s="417"/>
      <c r="AB68" s="417"/>
      <c r="AC68" s="417"/>
      <c r="AD68" s="417"/>
      <c r="AE68" s="418"/>
      <c r="AF68" s="151"/>
      <c r="AG68" s="151"/>
      <c r="AH68" s="148"/>
      <c r="AI68" s="148"/>
      <c r="AJ68" s="148"/>
      <c r="AK68" s="148"/>
      <c r="AL68" s="148"/>
      <c r="AM68" s="148"/>
      <c r="AQ68" s="126"/>
      <c r="AR68" s="126"/>
      <c r="AS68" s="126"/>
      <c r="AT68" s="126"/>
      <c r="BA68" s="113"/>
      <c r="BS68" s="4"/>
      <c r="BT68" s="5"/>
      <c r="BU68" s="5"/>
      <c r="BV68" s="6"/>
    </row>
    <row r="69" spans="2:74" ht="15.75">
      <c r="B69" s="153">
        <v>43177</v>
      </c>
      <c r="C69" s="416" t="s">
        <v>169</v>
      </c>
      <c r="D69" s="417"/>
      <c r="E69" s="417"/>
      <c r="F69" s="417"/>
      <c r="G69" s="417"/>
      <c r="H69" s="417"/>
      <c r="I69" s="417"/>
      <c r="J69" s="417"/>
      <c r="K69" s="417"/>
      <c r="L69" s="417"/>
      <c r="M69" s="417"/>
      <c r="N69" s="417"/>
      <c r="O69" s="417"/>
      <c r="P69" s="417"/>
      <c r="Q69" s="417"/>
      <c r="R69" s="417"/>
      <c r="S69" s="417"/>
      <c r="T69" s="417"/>
      <c r="U69" s="417"/>
      <c r="V69" s="417"/>
      <c r="W69" s="417"/>
      <c r="X69" s="417"/>
      <c r="Y69" s="417"/>
      <c r="Z69" s="417"/>
      <c r="AA69" s="417"/>
      <c r="AB69" s="417"/>
      <c r="AC69" s="417"/>
      <c r="AD69" s="417"/>
      <c r="AE69" s="418"/>
      <c r="AF69" s="151"/>
      <c r="AG69" s="151"/>
      <c r="AH69" s="148"/>
      <c r="AI69" s="148"/>
      <c r="AJ69" s="148"/>
      <c r="AK69" s="148"/>
      <c r="AL69" s="148"/>
      <c r="AM69" s="148"/>
      <c r="AQ69" s="126"/>
      <c r="AR69" s="126"/>
      <c r="AS69" s="126"/>
      <c r="AT69" s="126"/>
      <c r="BA69" s="113"/>
      <c r="BS69" s="4"/>
      <c r="BT69" s="5"/>
      <c r="BU69" s="5"/>
      <c r="BV69" s="6"/>
    </row>
    <row r="70" spans="2:74" ht="15.75">
      <c r="B70" s="153">
        <v>43178</v>
      </c>
      <c r="C70" s="416" t="s">
        <v>172</v>
      </c>
      <c r="D70" s="417"/>
      <c r="E70" s="417"/>
      <c r="F70" s="417"/>
      <c r="G70" s="417"/>
      <c r="H70" s="417"/>
      <c r="I70" s="417"/>
      <c r="J70" s="417"/>
      <c r="K70" s="417"/>
      <c r="L70" s="417"/>
      <c r="M70" s="417"/>
      <c r="N70" s="417"/>
      <c r="O70" s="417"/>
      <c r="P70" s="417"/>
      <c r="Q70" s="417"/>
      <c r="R70" s="417"/>
      <c r="S70" s="417"/>
      <c r="T70" s="417"/>
      <c r="U70" s="417"/>
      <c r="V70" s="417"/>
      <c r="W70" s="417"/>
      <c r="X70" s="417"/>
      <c r="Y70" s="417"/>
      <c r="Z70" s="417"/>
      <c r="AA70" s="417"/>
      <c r="AB70" s="417"/>
      <c r="AC70" s="417"/>
      <c r="AD70" s="417"/>
      <c r="AE70" s="418"/>
      <c r="AF70" s="151"/>
      <c r="AG70" s="151"/>
      <c r="AH70" s="148"/>
      <c r="AI70" s="148"/>
      <c r="AJ70" s="148"/>
      <c r="AK70" s="148"/>
      <c r="AL70" s="148"/>
      <c r="AM70" s="148"/>
      <c r="AQ70" s="126"/>
      <c r="AR70" s="126"/>
      <c r="AS70" s="126"/>
      <c r="AT70" s="126"/>
      <c r="BA70" s="113"/>
      <c r="BS70" s="4"/>
      <c r="BT70" s="5"/>
      <c r="BU70" s="5"/>
      <c r="BV70" s="6"/>
    </row>
    <row r="71" spans="2:74" ht="15.75">
      <c r="B71" s="153">
        <v>43179</v>
      </c>
      <c r="C71" s="416" t="s">
        <v>151</v>
      </c>
      <c r="D71" s="417"/>
      <c r="E71" s="417"/>
      <c r="F71" s="417"/>
      <c r="G71" s="417"/>
      <c r="H71" s="417"/>
      <c r="I71" s="417"/>
      <c r="J71" s="417"/>
      <c r="K71" s="417"/>
      <c r="L71" s="417"/>
      <c r="M71" s="417"/>
      <c r="N71" s="417"/>
      <c r="O71" s="417"/>
      <c r="P71" s="417"/>
      <c r="Q71" s="417"/>
      <c r="R71" s="417"/>
      <c r="S71" s="417"/>
      <c r="T71" s="417"/>
      <c r="U71" s="417"/>
      <c r="V71" s="417"/>
      <c r="W71" s="417"/>
      <c r="X71" s="417"/>
      <c r="Y71" s="417"/>
      <c r="Z71" s="417"/>
      <c r="AA71" s="417"/>
      <c r="AB71" s="417"/>
      <c r="AC71" s="417"/>
      <c r="AD71" s="417"/>
      <c r="AE71" s="418"/>
      <c r="AF71" s="151"/>
      <c r="AG71" s="151"/>
      <c r="AH71" s="148"/>
      <c r="AI71" s="148"/>
      <c r="AJ71" s="148"/>
      <c r="AK71" s="148"/>
      <c r="AL71" s="148"/>
      <c r="AM71" s="148"/>
      <c r="AQ71" s="126"/>
      <c r="AR71" s="126"/>
      <c r="AS71" s="126"/>
      <c r="AT71" s="126"/>
      <c r="BA71" s="113"/>
      <c r="BS71" s="4"/>
      <c r="BT71" s="5"/>
      <c r="BU71" s="5"/>
      <c r="BV71" s="6"/>
    </row>
    <row r="72" spans="2:74" ht="15.75">
      <c r="B72" s="153">
        <v>43180</v>
      </c>
      <c r="C72" s="416" t="s">
        <v>151</v>
      </c>
      <c r="D72" s="417"/>
      <c r="E72" s="417"/>
      <c r="F72" s="417"/>
      <c r="G72" s="417"/>
      <c r="H72" s="417"/>
      <c r="I72" s="417"/>
      <c r="J72" s="417"/>
      <c r="K72" s="417"/>
      <c r="L72" s="417"/>
      <c r="M72" s="417"/>
      <c r="N72" s="417"/>
      <c r="O72" s="417"/>
      <c r="P72" s="417"/>
      <c r="Q72" s="417"/>
      <c r="R72" s="417"/>
      <c r="S72" s="417"/>
      <c r="T72" s="417"/>
      <c r="U72" s="417"/>
      <c r="V72" s="417"/>
      <c r="W72" s="417"/>
      <c r="X72" s="417"/>
      <c r="Y72" s="417"/>
      <c r="Z72" s="417"/>
      <c r="AA72" s="417"/>
      <c r="AB72" s="417"/>
      <c r="AC72" s="417"/>
      <c r="AD72" s="417"/>
      <c r="AE72" s="418"/>
      <c r="AF72" s="151"/>
      <c r="AG72" s="151"/>
      <c r="AH72" s="148"/>
      <c r="AI72" s="148"/>
      <c r="AJ72" s="148"/>
      <c r="AK72" s="148"/>
      <c r="AL72" s="148"/>
      <c r="AM72" s="148"/>
      <c r="AQ72" s="126"/>
      <c r="AR72" s="126"/>
      <c r="AS72" s="126"/>
      <c r="AT72" s="126"/>
      <c r="BA72" s="113"/>
      <c r="BS72" s="4"/>
      <c r="BT72" s="5"/>
      <c r="BU72" s="5"/>
      <c r="BV72" s="6"/>
    </row>
    <row r="73" spans="2:74" ht="15.75">
      <c r="B73" s="153">
        <v>43181</v>
      </c>
      <c r="C73" s="416" t="s">
        <v>151</v>
      </c>
      <c r="D73" s="417"/>
      <c r="E73" s="417"/>
      <c r="F73" s="417"/>
      <c r="G73" s="417"/>
      <c r="H73" s="417"/>
      <c r="I73" s="417"/>
      <c r="J73" s="417"/>
      <c r="K73" s="417"/>
      <c r="L73" s="417"/>
      <c r="M73" s="417"/>
      <c r="N73" s="417"/>
      <c r="O73" s="417"/>
      <c r="P73" s="417"/>
      <c r="Q73" s="417"/>
      <c r="R73" s="417"/>
      <c r="S73" s="417"/>
      <c r="T73" s="417"/>
      <c r="U73" s="417"/>
      <c r="V73" s="417"/>
      <c r="W73" s="417"/>
      <c r="X73" s="417"/>
      <c r="Y73" s="417"/>
      <c r="Z73" s="417"/>
      <c r="AA73" s="417"/>
      <c r="AB73" s="417"/>
      <c r="AC73" s="417"/>
      <c r="AD73" s="417"/>
      <c r="AE73" s="418"/>
      <c r="AF73" s="151"/>
      <c r="AG73" s="151"/>
      <c r="AH73" s="148"/>
      <c r="AI73" s="148"/>
      <c r="AJ73" s="148"/>
      <c r="AK73" s="148"/>
      <c r="AL73" s="148"/>
      <c r="AM73" s="148"/>
      <c r="AQ73" s="126"/>
      <c r="AR73" s="126"/>
      <c r="AS73" s="126"/>
      <c r="AT73" s="126"/>
      <c r="BA73" s="113"/>
      <c r="BS73" s="4"/>
      <c r="BT73" s="5"/>
      <c r="BU73" s="5"/>
      <c r="BV73" s="6"/>
    </row>
    <row r="74" spans="2:74" ht="15.75">
      <c r="B74" s="153">
        <v>43182</v>
      </c>
      <c r="C74" s="416" t="s">
        <v>151</v>
      </c>
      <c r="D74" s="417"/>
      <c r="E74" s="417"/>
      <c r="F74" s="417"/>
      <c r="G74" s="417"/>
      <c r="H74" s="417"/>
      <c r="I74" s="417"/>
      <c r="J74" s="417"/>
      <c r="K74" s="417"/>
      <c r="L74" s="417"/>
      <c r="M74" s="417"/>
      <c r="N74" s="417"/>
      <c r="O74" s="417"/>
      <c r="P74" s="417"/>
      <c r="Q74" s="417"/>
      <c r="R74" s="417"/>
      <c r="S74" s="417"/>
      <c r="T74" s="417"/>
      <c r="U74" s="417"/>
      <c r="V74" s="417"/>
      <c r="W74" s="417"/>
      <c r="X74" s="417"/>
      <c r="Y74" s="417"/>
      <c r="Z74" s="417"/>
      <c r="AA74" s="417"/>
      <c r="AB74" s="417"/>
      <c r="AC74" s="417"/>
      <c r="AD74" s="417"/>
      <c r="AE74" s="418"/>
      <c r="AF74" s="151"/>
      <c r="AG74" s="151"/>
      <c r="AH74" s="148"/>
      <c r="AI74" s="148"/>
      <c r="AJ74" s="148"/>
      <c r="AK74" s="148"/>
      <c r="AL74" s="148"/>
      <c r="AM74" s="148"/>
      <c r="AQ74" s="126"/>
      <c r="AR74" s="126"/>
      <c r="AS74" s="126"/>
      <c r="AT74" s="126"/>
      <c r="BA74" s="113"/>
      <c r="BS74" s="4"/>
      <c r="BT74" s="5"/>
      <c r="BU74" s="5"/>
      <c r="BV74" s="6"/>
    </row>
    <row r="75" spans="2:74" ht="15.75">
      <c r="B75" s="153">
        <v>43183</v>
      </c>
      <c r="C75" s="416" t="s">
        <v>151</v>
      </c>
      <c r="D75" s="417"/>
      <c r="E75" s="417"/>
      <c r="F75" s="417"/>
      <c r="G75" s="417"/>
      <c r="H75" s="417"/>
      <c r="I75" s="417"/>
      <c r="J75" s="417"/>
      <c r="K75" s="417"/>
      <c r="L75" s="417"/>
      <c r="M75" s="417"/>
      <c r="N75" s="417"/>
      <c r="O75" s="417"/>
      <c r="P75" s="417"/>
      <c r="Q75" s="417"/>
      <c r="R75" s="417"/>
      <c r="S75" s="417"/>
      <c r="T75" s="417"/>
      <c r="U75" s="417"/>
      <c r="V75" s="417"/>
      <c r="W75" s="417"/>
      <c r="X75" s="417"/>
      <c r="Y75" s="417"/>
      <c r="Z75" s="417"/>
      <c r="AA75" s="417"/>
      <c r="AB75" s="417"/>
      <c r="AC75" s="417"/>
      <c r="AD75" s="417"/>
      <c r="AE75" s="418"/>
      <c r="AF75" s="151"/>
      <c r="AG75" s="151"/>
      <c r="AH75" s="148"/>
      <c r="AI75" s="148"/>
      <c r="AJ75" s="148"/>
      <c r="AK75" s="148"/>
      <c r="AL75" s="148"/>
      <c r="AM75" s="148"/>
      <c r="AQ75" s="126"/>
      <c r="AR75" s="126"/>
      <c r="AS75" s="126"/>
      <c r="AT75" s="126"/>
      <c r="BA75" s="113"/>
      <c r="BS75" s="4"/>
      <c r="BT75" s="5"/>
      <c r="BU75" s="5"/>
      <c r="BV75" s="6"/>
    </row>
    <row r="76" spans="2:74" ht="15.75">
      <c r="B76" s="153">
        <v>43184</v>
      </c>
      <c r="C76" s="416" t="s">
        <v>173</v>
      </c>
      <c r="D76" s="417"/>
      <c r="E76" s="417"/>
      <c r="F76" s="417"/>
      <c r="G76" s="417"/>
      <c r="H76" s="417"/>
      <c r="I76" s="417"/>
      <c r="J76" s="417"/>
      <c r="K76" s="417"/>
      <c r="L76" s="417"/>
      <c r="M76" s="417"/>
      <c r="N76" s="417"/>
      <c r="O76" s="417"/>
      <c r="P76" s="417"/>
      <c r="Q76" s="417"/>
      <c r="R76" s="417"/>
      <c r="S76" s="417"/>
      <c r="T76" s="417"/>
      <c r="U76" s="417"/>
      <c r="V76" s="417"/>
      <c r="W76" s="417"/>
      <c r="X76" s="417"/>
      <c r="Y76" s="417"/>
      <c r="Z76" s="417"/>
      <c r="AA76" s="417"/>
      <c r="AB76" s="417"/>
      <c r="AC76" s="417"/>
      <c r="AD76" s="417"/>
      <c r="AE76" s="418"/>
      <c r="AF76" s="151"/>
      <c r="AG76" s="151"/>
      <c r="AH76" s="148"/>
      <c r="AI76" s="148"/>
      <c r="AJ76" s="148"/>
      <c r="AK76" s="148"/>
      <c r="AL76" s="148"/>
      <c r="AM76" s="148"/>
      <c r="AQ76" s="126"/>
      <c r="AR76" s="126"/>
      <c r="AS76" s="126"/>
      <c r="AT76" s="126"/>
      <c r="BA76" s="113"/>
      <c r="BS76" s="4"/>
      <c r="BT76" s="5"/>
      <c r="BU76" s="5"/>
      <c r="BV76" s="6"/>
    </row>
    <row r="77" spans="2:74" ht="15.75">
      <c r="B77" s="153">
        <v>43185</v>
      </c>
      <c r="C77" s="416" t="s">
        <v>151</v>
      </c>
      <c r="D77" s="417"/>
      <c r="E77" s="417"/>
      <c r="F77" s="417"/>
      <c r="G77" s="417"/>
      <c r="H77" s="417"/>
      <c r="I77" s="417"/>
      <c r="J77" s="417"/>
      <c r="K77" s="417"/>
      <c r="L77" s="417"/>
      <c r="M77" s="417"/>
      <c r="N77" s="417"/>
      <c r="O77" s="417"/>
      <c r="P77" s="417"/>
      <c r="Q77" s="417"/>
      <c r="R77" s="417"/>
      <c r="S77" s="417"/>
      <c r="T77" s="417"/>
      <c r="U77" s="417"/>
      <c r="V77" s="417"/>
      <c r="W77" s="417"/>
      <c r="X77" s="417"/>
      <c r="Y77" s="417"/>
      <c r="Z77" s="417"/>
      <c r="AA77" s="417"/>
      <c r="AB77" s="417"/>
      <c r="AC77" s="417"/>
      <c r="AD77" s="417"/>
      <c r="AE77" s="418"/>
      <c r="AF77" s="151"/>
      <c r="AG77" s="151"/>
      <c r="AH77" s="148"/>
      <c r="AI77" s="148"/>
      <c r="AJ77" s="148"/>
      <c r="AK77" s="148"/>
      <c r="AL77" s="148"/>
      <c r="AM77" s="148"/>
      <c r="AQ77" s="126"/>
      <c r="AR77" s="126"/>
      <c r="AS77" s="126"/>
      <c r="AT77" s="126"/>
      <c r="BA77" s="113"/>
      <c r="BS77" s="4"/>
      <c r="BT77" s="5"/>
      <c r="BU77" s="5"/>
      <c r="BV77" s="6"/>
    </row>
    <row r="78" spans="2:74" ht="15.75">
      <c r="B78" s="153">
        <v>43186</v>
      </c>
      <c r="C78" s="416" t="s">
        <v>174</v>
      </c>
      <c r="D78" s="417"/>
      <c r="E78" s="417"/>
      <c r="F78" s="417"/>
      <c r="G78" s="417"/>
      <c r="H78" s="417"/>
      <c r="I78" s="417"/>
      <c r="J78" s="417"/>
      <c r="K78" s="417"/>
      <c r="L78" s="417"/>
      <c r="M78" s="417"/>
      <c r="N78" s="417"/>
      <c r="O78" s="417"/>
      <c r="P78" s="417"/>
      <c r="Q78" s="417"/>
      <c r="R78" s="417"/>
      <c r="S78" s="417"/>
      <c r="T78" s="417"/>
      <c r="U78" s="417"/>
      <c r="V78" s="417"/>
      <c r="W78" s="417"/>
      <c r="X78" s="417"/>
      <c r="Y78" s="417"/>
      <c r="Z78" s="417"/>
      <c r="AA78" s="417"/>
      <c r="AB78" s="417"/>
      <c r="AC78" s="417"/>
      <c r="AD78" s="417"/>
      <c r="AE78" s="418"/>
      <c r="AF78" s="151"/>
      <c r="AG78" s="151"/>
      <c r="AH78" s="148"/>
      <c r="AI78" s="148"/>
      <c r="AJ78" s="148"/>
      <c r="AK78" s="148"/>
      <c r="AL78" s="148"/>
      <c r="AM78" s="148"/>
      <c r="AQ78" s="126"/>
      <c r="AR78" s="126"/>
      <c r="AS78" s="126"/>
      <c r="AT78" s="126"/>
      <c r="BA78" s="113"/>
      <c r="BS78" s="4"/>
      <c r="BT78" s="5"/>
      <c r="BU78" s="5"/>
      <c r="BV78" s="6"/>
    </row>
    <row r="79" spans="2:74" ht="15.75">
      <c r="B79" s="153">
        <v>43187</v>
      </c>
      <c r="C79" s="416" t="s">
        <v>151</v>
      </c>
      <c r="D79" s="417"/>
      <c r="E79" s="417"/>
      <c r="F79" s="417"/>
      <c r="G79" s="417"/>
      <c r="H79" s="417"/>
      <c r="I79" s="417"/>
      <c r="J79" s="417"/>
      <c r="K79" s="417"/>
      <c r="L79" s="417"/>
      <c r="M79" s="417"/>
      <c r="N79" s="417"/>
      <c r="O79" s="417"/>
      <c r="P79" s="417"/>
      <c r="Q79" s="417"/>
      <c r="R79" s="417"/>
      <c r="S79" s="417"/>
      <c r="T79" s="417"/>
      <c r="U79" s="417"/>
      <c r="V79" s="417"/>
      <c r="W79" s="417"/>
      <c r="X79" s="417"/>
      <c r="Y79" s="417"/>
      <c r="Z79" s="417"/>
      <c r="AA79" s="417"/>
      <c r="AB79" s="417"/>
      <c r="AC79" s="417"/>
      <c r="AD79" s="417"/>
      <c r="AE79" s="418"/>
      <c r="AF79" s="151"/>
      <c r="AG79" s="151"/>
      <c r="AH79" s="148"/>
      <c r="AI79" s="148"/>
      <c r="AJ79" s="148"/>
      <c r="AK79" s="148"/>
      <c r="AL79" s="148"/>
      <c r="AM79" s="148"/>
      <c r="AQ79" s="126"/>
      <c r="AR79" s="126"/>
      <c r="AS79" s="126"/>
      <c r="AT79" s="126"/>
      <c r="BA79" s="113"/>
      <c r="BS79" s="4"/>
      <c r="BT79" s="5"/>
      <c r="BU79" s="5"/>
      <c r="BV79" s="6"/>
    </row>
    <row r="80" spans="2:74" ht="15.75">
      <c r="B80" s="153">
        <v>43188</v>
      </c>
      <c r="C80" s="416" t="s">
        <v>151</v>
      </c>
      <c r="D80" s="417"/>
      <c r="E80" s="417"/>
      <c r="F80" s="417"/>
      <c r="G80" s="417"/>
      <c r="H80" s="417"/>
      <c r="I80" s="417"/>
      <c r="J80" s="417"/>
      <c r="K80" s="417"/>
      <c r="L80" s="417"/>
      <c r="M80" s="417"/>
      <c r="N80" s="417"/>
      <c r="O80" s="417"/>
      <c r="P80" s="417"/>
      <c r="Q80" s="417"/>
      <c r="R80" s="417"/>
      <c r="S80" s="417"/>
      <c r="T80" s="417"/>
      <c r="U80" s="417"/>
      <c r="V80" s="417"/>
      <c r="W80" s="417"/>
      <c r="X80" s="417"/>
      <c r="Y80" s="417"/>
      <c r="Z80" s="417"/>
      <c r="AA80" s="417"/>
      <c r="AB80" s="417"/>
      <c r="AC80" s="417"/>
      <c r="AD80" s="417"/>
      <c r="AE80" s="418"/>
    </row>
    <row r="81" spans="2:31" ht="15.75">
      <c r="B81" s="153">
        <v>43189</v>
      </c>
      <c r="C81" s="416" t="s">
        <v>175</v>
      </c>
      <c r="D81" s="417"/>
      <c r="E81" s="417"/>
      <c r="F81" s="417"/>
      <c r="G81" s="417"/>
      <c r="H81" s="417"/>
      <c r="I81" s="417"/>
      <c r="J81" s="417"/>
      <c r="K81" s="417"/>
      <c r="L81" s="417"/>
      <c r="M81" s="417"/>
      <c r="N81" s="417"/>
      <c r="O81" s="417"/>
      <c r="P81" s="417"/>
      <c r="Q81" s="417"/>
      <c r="R81" s="417"/>
      <c r="S81" s="417"/>
      <c r="T81" s="417"/>
      <c r="U81" s="417"/>
      <c r="V81" s="417"/>
      <c r="W81" s="417"/>
      <c r="X81" s="417"/>
      <c r="Y81" s="417"/>
      <c r="Z81" s="417"/>
      <c r="AA81" s="417"/>
      <c r="AB81" s="417"/>
      <c r="AC81" s="417"/>
      <c r="AD81" s="417"/>
      <c r="AE81" s="418"/>
    </row>
    <row r="82" spans="2:31" ht="15.75">
      <c r="B82" s="153">
        <v>43190</v>
      </c>
      <c r="C82" s="416" t="s">
        <v>176</v>
      </c>
      <c r="D82" s="417"/>
      <c r="E82" s="417"/>
      <c r="F82" s="417"/>
      <c r="G82" s="417"/>
      <c r="H82" s="417"/>
      <c r="I82" s="417"/>
      <c r="J82" s="417"/>
      <c r="K82" s="417"/>
      <c r="L82" s="417"/>
      <c r="M82" s="417"/>
      <c r="N82" s="417"/>
      <c r="O82" s="417"/>
      <c r="P82" s="417"/>
      <c r="Q82" s="417"/>
      <c r="R82" s="417"/>
      <c r="S82" s="417"/>
      <c r="T82" s="417"/>
      <c r="U82" s="417"/>
      <c r="V82" s="417"/>
      <c r="W82" s="417"/>
      <c r="X82" s="417"/>
      <c r="Y82" s="417"/>
      <c r="Z82" s="417"/>
      <c r="AA82" s="417"/>
      <c r="AB82" s="417"/>
      <c r="AC82" s="417"/>
      <c r="AD82" s="417"/>
      <c r="AE82" s="418"/>
    </row>
  </sheetData>
  <mergeCells count="116">
    <mergeCell ref="C82:AE82"/>
    <mergeCell ref="C76:AE76"/>
    <mergeCell ref="C77:AE77"/>
    <mergeCell ref="C78:AE78"/>
    <mergeCell ref="C79:AE79"/>
    <mergeCell ref="C80:AE80"/>
    <mergeCell ref="C81:AE81"/>
    <mergeCell ref="C70:AE70"/>
    <mergeCell ref="C71:AE71"/>
    <mergeCell ref="C72:AE72"/>
    <mergeCell ref="C73:AE73"/>
    <mergeCell ref="C74:AE74"/>
    <mergeCell ref="C75:AE75"/>
    <mergeCell ref="C64:AE64"/>
    <mergeCell ref="C65:AE65"/>
    <mergeCell ref="C66:AE66"/>
    <mergeCell ref="C67:AE67"/>
    <mergeCell ref="C68:AE68"/>
    <mergeCell ref="C69:AE69"/>
    <mergeCell ref="C58:AE58"/>
    <mergeCell ref="C59:AE59"/>
    <mergeCell ref="C61:AE61"/>
    <mergeCell ref="C62:AE62"/>
    <mergeCell ref="C63:AE63"/>
    <mergeCell ref="C60:AE60"/>
    <mergeCell ref="C52:AE52"/>
    <mergeCell ref="C53:AE53"/>
    <mergeCell ref="C54:AE54"/>
    <mergeCell ref="C55:AE55"/>
    <mergeCell ref="C56:AE56"/>
    <mergeCell ref="C57:AE57"/>
    <mergeCell ref="H43:I43"/>
    <mergeCell ref="J43:K43"/>
    <mergeCell ref="L43:M43"/>
    <mergeCell ref="N43:O43"/>
    <mergeCell ref="P43:Q43"/>
    <mergeCell ref="C51:AE51"/>
    <mergeCell ref="A5:A11"/>
    <mergeCell ref="A12:A18"/>
    <mergeCell ref="A19:A25"/>
    <mergeCell ref="A26:A32"/>
    <mergeCell ref="A33:A39"/>
    <mergeCell ref="F43:G43"/>
    <mergeCell ref="CB2:CB4"/>
    <mergeCell ref="CD2:CE2"/>
    <mergeCell ref="CF2:CG2"/>
    <mergeCell ref="H3:I3"/>
    <mergeCell ref="J3:K3"/>
    <mergeCell ref="L3:M3"/>
    <mergeCell ref="N3:O3"/>
    <mergeCell ref="BH3:BH4"/>
    <mergeCell ref="BI3:BI4"/>
    <mergeCell ref="BK3:BK4"/>
    <mergeCell ref="BR2:BR4"/>
    <mergeCell ref="BT2:BT4"/>
    <mergeCell ref="BU2:BU4"/>
    <mergeCell ref="BX2:BX4"/>
    <mergeCell ref="BY2:BY4"/>
    <mergeCell ref="CA2:CA4"/>
    <mergeCell ref="BW3:BW4"/>
    <mergeCell ref="BE2:BE4"/>
    <mergeCell ref="BF2:BF4"/>
    <mergeCell ref="BG2:BG4"/>
    <mergeCell ref="BL2:BM2"/>
    <mergeCell ref="BP2:BP4"/>
    <mergeCell ref="BQ2:BQ4"/>
    <mergeCell ref="BL3:BL4"/>
    <mergeCell ref="BM3:BM4"/>
    <mergeCell ref="BN3:BN4"/>
    <mergeCell ref="BO3:BO4"/>
    <mergeCell ref="AX2:AX4"/>
    <mergeCell ref="AY2:AY4"/>
    <mergeCell ref="AZ2:AZ4"/>
    <mergeCell ref="BB2:BB4"/>
    <mergeCell ref="BC2:BC4"/>
    <mergeCell ref="BD2:BD4"/>
    <mergeCell ref="AQ2:AQ4"/>
    <mergeCell ref="AR2:AR4"/>
    <mergeCell ref="AT2:AT4"/>
    <mergeCell ref="AU2:AU4"/>
    <mergeCell ref="AV2:AV4"/>
    <mergeCell ref="AW2:AW4"/>
    <mergeCell ref="AK2:AK4"/>
    <mergeCell ref="AL2:AL4"/>
    <mergeCell ref="AM2:AM4"/>
    <mergeCell ref="AN2:AN4"/>
    <mergeCell ref="AO2:AO4"/>
    <mergeCell ref="AP2:AP4"/>
    <mergeCell ref="AE2:AE4"/>
    <mergeCell ref="AF2:AF4"/>
    <mergeCell ref="AG2:AG4"/>
    <mergeCell ref="AH2:AH4"/>
    <mergeCell ref="AI2:AI4"/>
    <mergeCell ref="AJ2:AJ4"/>
    <mergeCell ref="B1:AG1"/>
    <mergeCell ref="B2:B4"/>
    <mergeCell ref="C2:C4"/>
    <mergeCell ref="D2:D4"/>
    <mergeCell ref="E2:E4"/>
    <mergeCell ref="F2:G3"/>
    <mergeCell ref="H2:K2"/>
    <mergeCell ref="L2:O2"/>
    <mergeCell ref="P2:Q3"/>
    <mergeCell ref="R2:R4"/>
    <mergeCell ref="Y2:Y4"/>
    <mergeCell ref="Z2:Z4"/>
    <mergeCell ref="AA2:AA4"/>
    <mergeCell ref="AB2:AB4"/>
    <mergeCell ref="AC2:AC4"/>
    <mergeCell ref="AD2:AD4"/>
    <mergeCell ref="S2:S4"/>
    <mergeCell ref="T2:T4"/>
    <mergeCell ref="U2:U4"/>
    <mergeCell ref="V2:V4"/>
    <mergeCell ref="W2:W4"/>
    <mergeCell ref="X2:X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CF88"/>
  <sheetViews>
    <sheetView workbookViewId="0">
      <pane xSplit="2" ySplit="4" topLeftCell="C71" activePane="bottomRight" state="frozen"/>
      <selection pane="topRight" activeCell="C1" sqref="C1"/>
      <selection pane="bottomLeft" activeCell="A5" sqref="A5"/>
      <selection pane="bottomRight" activeCell="C74" sqref="C74:AE74"/>
    </sheetView>
  </sheetViews>
  <sheetFormatPr defaultRowHeight="15"/>
  <cols>
    <col min="2" max="2" width="10.140625" customWidth="1"/>
    <col min="37" max="37" width="9.5703125" bestFit="1" customWidth="1"/>
    <col min="39" max="39" width="10.28515625" customWidth="1"/>
    <col min="42" max="42" width="9.7109375" customWidth="1"/>
    <col min="43" max="43" width="9.140625" customWidth="1"/>
  </cols>
  <sheetData>
    <row r="1" spans="1:84" ht="18.75" thickBot="1">
      <c r="B1" s="490">
        <v>43191</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7"/>
      <c r="AI1" s="7"/>
      <c r="AJ1" s="7"/>
      <c r="AK1" s="8"/>
      <c r="AL1" s="8"/>
      <c r="AM1" s="8"/>
      <c r="AN1" s="8"/>
      <c r="AO1" s="8"/>
      <c r="AP1" s="8"/>
      <c r="AQ1" s="8"/>
      <c r="AR1" s="8"/>
      <c r="AS1" s="9"/>
      <c r="AT1" s="10"/>
      <c r="AU1" s="10"/>
      <c r="AV1" s="10"/>
      <c r="AW1" s="10"/>
      <c r="AX1" s="10"/>
      <c r="AY1" s="11"/>
      <c r="AZ1" s="11"/>
      <c r="BA1" s="4"/>
      <c r="BS1" s="5"/>
      <c r="BT1" s="5"/>
      <c r="BU1" s="6"/>
    </row>
    <row r="2" spans="1:84" ht="30.75" thickBot="1">
      <c r="A2" s="12"/>
      <c r="B2" s="491" t="s">
        <v>1</v>
      </c>
      <c r="C2" s="442" t="s">
        <v>2</v>
      </c>
      <c r="D2" s="494" t="s">
        <v>3</v>
      </c>
      <c r="E2" s="442" t="s">
        <v>130</v>
      </c>
      <c r="F2" s="497" t="s">
        <v>4</v>
      </c>
      <c r="G2" s="498"/>
      <c r="H2" s="477" t="s">
        <v>5</v>
      </c>
      <c r="I2" s="501"/>
      <c r="J2" s="501"/>
      <c r="K2" s="480"/>
      <c r="L2" s="477" t="s">
        <v>6</v>
      </c>
      <c r="M2" s="501"/>
      <c r="N2" s="501"/>
      <c r="O2" s="480"/>
      <c r="P2" s="502" t="s">
        <v>7</v>
      </c>
      <c r="Q2" s="503"/>
      <c r="R2" s="506" t="s">
        <v>8</v>
      </c>
      <c r="S2" s="422" t="s">
        <v>9</v>
      </c>
      <c r="T2" s="425" t="s">
        <v>10</v>
      </c>
      <c r="U2" s="433" t="s">
        <v>11</v>
      </c>
      <c r="V2" s="436" t="s">
        <v>12</v>
      </c>
      <c r="W2" s="439" t="s">
        <v>13</v>
      </c>
      <c r="X2" s="439" t="s">
        <v>14</v>
      </c>
      <c r="Y2" s="439" t="s">
        <v>15</v>
      </c>
      <c r="Z2" s="439" t="s">
        <v>16</v>
      </c>
      <c r="AA2" s="439" t="s">
        <v>17</v>
      </c>
      <c r="AB2" s="439" t="s">
        <v>18</v>
      </c>
      <c r="AC2" s="515" t="s">
        <v>19</v>
      </c>
      <c r="AD2" s="512" t="s">
        <v>20</v>
      </c>
      <c r="AE2" s="509" t="s">
        <v>21</v>
      </c>
      <c r="AF2" s="512" t="s">
        <v>22</v>
      </c>
      <c r="AG2" s="465" t="s">
        <v>23</v>
      </c>
      <c r="AH2" s="465" t="s">
        <v>24</v>
      </c>
      <c r="AI2" s="465" t="s">
        <v>25</v>
      </c>
      <c r="AJ2" s="468" t="s">
        <v>26</v>
      </c>
      <c r="AK2" s="518" t="s">
        <v>27</v>
      </c>
      <c r="AL2" s="419" t="s">
        <v>28</v>
      </c>
      <c r="AM2" s="468" t="s">
        <v>29</v>
      </c>
      <c r="AN2" s="419" t="s">
        <v>30</v>
      </c>
      <c r="AO2" s="419" t="s">
        <v>31</v>
      </c>
      <c r="AP2" s="468" t="s">
        <v>32</v>
      </c>
      <c r="AQ2" s="521" t="s">
        <v>33</v>
      </c>
      <c r="AR2" s="522" t="s">
        <v>34</v>
      </c>
      <c r="AS2" s="13"/>
      <c r="AT2" s="462" t="s">
        <v>35</v>
      </c>
      <c r="AU2" s="447" t="s">
        <v>36</v>
      </c>
      <c r="AV2" s="447" t="s">
        <v>37</v>
      </c>
      <c r="AW2" s="447" t="s">
        <v>38</v>
      </c>
      <c r="AX2" s="447" t="s">
        <v>39</v>
      </c>
      <c r="AY2" s="447" t="s">
        <v>40</v>
      </c>
      <c r="AZ2" s="447" t="s">
        <v>41</v>
      </c>
      <c r="BA2" s="4"/>
      <c r="BB2" s="447" t="s">
        <v>42</v>
      </c>
      <c r="BC2" s="447" t="s">
        <v>43</v>
      </c>
      <c r="BD2" s="447" t="s">
        <v>44</v>
      </c>
      <c r="BE2" s="447" t="s">
        <v>45</v>
      </c>
      <c r="BF2" s="447" t="s">
        <v>46</v>
      </c>
      <c r="BG2" s="447" t="s">
        <v>47</v>
      </c>
      <c r="BH2" s="14" t="s">
        <v>48</v>
      </c>
      <c r="BI2" s="14" t="s">
        <v>49</v>
      </c>
      <c r="BJ2" s="14" t="s">
        <v>50</v>
      </c>
      <c r="BK2" s="14" t="s">
        <v>51</v>
      </c>
      <c r="BL2" s="445" t="s">
        <v>52</v>
      </c>
      <c r="BM2" s="446"/>
      <c r="BN2" s="14" t="s">
        <v>53</v>
      </c>
      <c r="BO2" s="14" t="s">
        <v>54</v>
      </c>
      <c r="BP2" s="447" t="s">
        <v>55</v>
      </c>
      <c r="BQ2" s="484" t="s">
        <v>56</v>
      </c>
      <c r="BR2" s="484" t="s">
        <v>57</v>
      </c>
      <c r="BS2" s="481" t="s">
        <v>58</v>
      </c>
      <c r="BT2" s="481" t="s">
        <v>59</v>
      </c>
      <c r="BU2" s="6"/>
      <c r="BV2" s="14" t="s">
        <v>60</v>
      </c>
      <c r="BW2" s="447" t="s">
        <v>61</v>
      </c>
      <c r="BX2" s="447" t="s">
        <v>62</v>
      </c>
      <c r="BZ2" s="474" t="s">
        <v>63</v>
      </c>
      <c r="CA2" s="474" t="s">
        <v>64</v>
      </c>
      <c r="CC2" s="487" t="s">
        <v>124</v>
      </c>
      <c r="CD2" s="488"/>
      <c r="CE2" s="487" t="s">
        <v>128</v>
      </c>
      <c r="CF2" s="488"/>
    </row>
    <row r="3" spans="1:84" ht="26.25" thickBot="1">
      <c r="A3" s="16"/>
      <c r="B3" s="492"/>
      <c r="C3" s="443"/>
      <c r="D3" s="495"/>
      <c r="E3" s="443"/>
      <c r="F3" s="499"/>
      <c r="G3" s="500"/>
      <c r="H3" s="477" t="s">
        <v>65</v>
      </c>
      <c r="I3" s="478"/>
      <c r="J3" s="479" t="s">
        <v>66</v>
      </c>
      <c r="K3" s="480"/>
      <c r="L3" s="477" t="s">
        <v>65</v>
      </c>
      <c r="M3" s="478"/>
      <c r="N3" s="479" t="s">
        <v>66</v>
      </c>
      <c r="O3" s="480"/>
      <c r="P3" s="504"/>
      <c r="Q3" s="505"/>
      <c r="R3" s="507"/>
      <c r="S3" s="423"/>
      <c r="T3" s="426"/>
      <c r="U3" s="434"/>
      <c r="V3" s="437"/>
      <c r="W3" s="440"/>
      <c r="X3" s="440"/>
      <c r="Y3" s="440"/>
      <c r="Z3" s="440"/>
      <c r="AA3" s="440"/>
      <c r="AB3" s="440"/>
      <c r="AC3" s="516"/>
      <c r="AD3" s="513"/>
      <c r="AE3" s="510"/>
      <c r="AF3" s="513"/>
      <c r="AG3" s="466"/>
      <c r="AH3" s="466"/>
      <c r="AI3" s="466"/>
      <c r="AJ3" s="469"/>
      <c r="AK3" s="519"/>
      <c r="AL3" s="420"/>
      <c r="AM3" s="469"/>
      <c r="AN3" s="420"/>
      <c r="AO3" s="420"/>
      <c r="AP3" s="469"/>
      <c r="AQ3" s="521"/>
      <c r="AR3" s="523"/>
      <c r="AS3" s="13"/>
      <c r="AT3" s="463"/>
      <c r="AU3" s="440"/>
      <c r="AV3" s="440"/>
      <c r="AW3" s="440"/>
      <c r="AX3" s="440"/>
      <c r="AY3" s="440"/>
      <c r="AZ3" s="440"/>
      <c r="BA3" s="4"/>
      <c r="BB3" s="440"/>
      <c r="BC3" s="440"/>
      <c r="BD3" s="440"/>
      <c r="BE3" s="440"/>
      <c r="BF3" s="440"/>
      <c r="BG3" s="440"/>
      <c r="BH3" s="457" t="s">
        <v>67</v>
      </c>
      <c r="BI3" s="457" t="s">
        <v>67</v>
      </c>
      <c r="BJ3" s="17" t="s">
        <v>68</v>
      </c>
      <c r="BK3" s="449" t="s">
        <v>69</v>
      </c>
      <c r="BL3" s="449" t="s">
        <v>69</v>
      </c>
      <c r="BM3" s="449" t="s">
        <v>70</v>
      </c>
      <c r="BN3" s="457" t="s">
        <v>71</v>
      </c>
      <c r="BO3" s="457" t="s">
        <v>72</v>
      </c>
      <c r="BP3" s="440"/>
      <c r="BQ3" s="485"/>
      <c r="BR3" s="485"/>
      <c r="BS3" s="482"/>
      <c r="BT3" s="482"/>
      <c r="BU3" s="6"/>
      <c r="BV3" s="457" t="s">
        <v>67</v>
      </c>
      <c r="BW3" s="440"/>
      <c r="BX3" s="440"/>
      <c r="BZ3" s="475"/>
      <c r="CA3" s="475"/>
      <c r="CC3" s="211" t="s">
        <v>129</v>
      </c>
      <c r="CD3" s="210" t="s">
        <v>125</v>
      </c>
      <c r="CE3" s="211" t="s">
        <v>129</v>
      </c>
      <c r="CF3" s="210" t="s">
        <v>125</v>
      </c>
    </row>
    <row r="4" spans="1:84" ht="15.75" thickBot="1">
      <c r="A4" s="16"/>
      <c r="B4" s="493"/>
      <c r="C4" s="444"/>
      <c r="D4" s="496"/>
      <c r="E4" s="444"/>
      <c r="F4" s="18" t="s">
        <v>73</v>
      </c>
      <c r="G4" s="19" t="s">
        <v>74</v>
      </c>
      <c r="H4" s="278" t="s">
        <v>75</v>
      </c>
      <c r="I4" s="21" t="s">
        <v>76</v>
      </c>
      <c r="J4" s="21" t="s">
        <v>75</v>
      </c>
      <c r="K4" s="279" t="s">
        <v>76</v>
      </c>
      <c r="L4" s="23" t="s">
        <v>75</v>
      </c>
      <c r="M4" s="21" t="s">
        <v>76</v>
      </c>
      <c r="N4" s="21" t="s">
        <v>75</v>
      </c>
      <c r="O4" s="19" t="s">
        <v>76</v>
      </c>
      <c r="P4" s="21" t="s">
        <v>75</v>
      </c>
      <c r="Q4" s="19" t="s">
        <v>76</v>
      </c>
      <c r="R4" s="508"/>
      <c r="S4" s="424"/>
      <c r="T4" s="427"/>
      <c r="U4" s="435"/>
      <c r="V4" s="438"/>
      <c r="W4" s="441"/>
      <c r="X4" s="441"/>
      <c r="Y4" s="441"/>
      <c r="Z4" s="441"/>
      <c r="AA4" s="441"/>
      <c r="AB4" s="441"/>
      <c r="AC4" s="517"/>
      <c r="AD4" s="514"/>
      <c r="AE4" s="511"/>
      <c r="AF4" s="514"/>
      <c r="AG4" s="467"/>
      <c r="AH4" s="467"/>
      <c r="AI4" s="467"/>
      <c r="AJ4" s="470"/>
      <c r="AK4" s="520"/>
      <c r="AL4" s="421"/>
      <c r="AM4" s="470"/>
      <c r="AN4" s="421"/>
      <c r="AO4" s="421"/>
      <c r="AP4" s="470"/>
      <c r="AQ4" s="521"/>
      <c r="AR4" s="524"/>
      <c r="AS4" s="13"/>
      <c r="AT4" s="464"/>
      <c r="AU4" s="448"/>
      <c r="AV4" s="448"/>
      <c r="AW4" s="448"/>
      <c r="AX4" s="448"/>
      <c r="AY4" s="448"/>
      <c r="AZ4" s="448"/>
      <c r="BA4" s="4"/>
      <c r="BB4" s="448"/>
      <c r="BC4" s="448"/>
      <c r="BD4" s="448"/>
      <c r="BE4" s="448"/>
      <c r="BF4" s="448"/>
      <c r="BG4" s="448"/>
      <c r="BH4" s="458"/>
      <c r="BI4" s="458"/>
      <c r="BJ4" s="17" t="s">
        <v>77</v>
      </c>
      <c r="BK4" s="450"/>
      <c r="BL4" s="450"/>
      <c r="BM4" s="450"/>
      <c r="BN4" s="458"/>
      <c r="BO4" s="458"/>
      <c r="BP4" s="448"/>
      <c r="BQ4" s="486"/>
      <c r="BR4" s="486"/>
      <c r="BS4" s="483"/>
      <c r="BT4" s="483"/>
      <c r="BU4" s="6"/>
      <c r="BV4" s="458"/>
      <c r="BW4" s="448"/>
      <c r="BX4" s="448"/>
      <c r="BZ4" s="476"/>
      <c r="CA4" s="476"/>
      <c r="CC4" s="213" t="s">
        <v>126</v>
      </c>
      <c r="CD4" s="212" t="s">
        <v>127</v>
      </c>
      <c r="CE4" s="213" t="s">
        <v>126</v>
      </c>
      <c r="CF4" s="212" t="s">
        <v>127</v>
      </c>
    </row>
    <row r="5" spans="1:84" ht="15" customHeight="1">
      <c r="A5" s="451" t="s">
        <v>165</v>
      </c>
      <c r="B5" s="24">
        <v>43185</v>
      </c>
      <c r="C5" s="266">
        <v>80.099999999999994</v>
      </c>
      <c r="D5" s="26">
        <v>0.53600000000000003</v>
      </c>
      <c r="E5" s="268">
        <v>66</v>
      </c>
      <c r="F5" s="266">
        <v>96</v>
      </c>
      <c r="G5" s="266">
        <v>66</v>
      </c>
      <c r="H5" s="266">
        <v>24</v>
      </c>
      <c r="I5" s="266">
        <v>0</v>
      </c>
      <c r="J5" s="266">
        <v>24</v>
      </c>
      <c r="K5" s="266">
        <v>0</v>
      </c>
      <c r="L5" s="266">
        <v>0</v>
      </c>
      <c r="M5" s="266">
        <v>0</v>
      </c>
      <c r="N5" s="266">
        <v>0</v>
      </c>
      <c r="O5" s="266">
        <v>0</v>
      </c>
      <c r="P5" s="266">
        <v>24</v>
      </c>
      <c r="Q5" s="266">
        <v>0</v>
      </c>
      <c r="R5" s="267">
        <v>3596</v>
      </c>
      <c r="S5" s="267">
        <v>3516</v>
      </c>
      <c r="T5" s="267">
        <v>3516</v>
      </c>
      <c r="U5" s="267">
        <v>3459</v>
      </c>
      <c r="V5" s="267">
        <v>3569</v>
      </c>
      <c r="W5" s="266">
        <v>44</v>
      </c>
      <c r="X5" s="266">
        <v>0</v>
      </c>
      <c r="Y5" s="28">
        <v>46</v>
      </c>
      <c r="Z5" s="28">
        <v>0</v>
      </c>
      <c r="AA5" s="28">
        <v>59</v>
      </c>
      <c r="AB5" s="27">
        <v>0</v>
      </c>
      <c r="AC5" s="221">
        <f t="shared" ref="AC5:AC11" si="0">V5-U5+AZ5</f>
        <v>110</v>
      </c>
      <c r="AD5" s="222">
        <f t="shared" ref="AD5:AD11" si="1">U5-T5</f>
        <v>-57</v>
      </c>
      <c r="AE5" s="223">
        <v>153</v>
      </c>
      <c r="AF5" s="224">
        <f t="shared" ref="AF5:AF11" si="2">IF(AE5&gt;0, V5/(AE5*24),"no data")</f>
        <v>0.97194989106753815</v>
      </c>
      <c r="AG5" s="225">
        <f t="shared" ref="AG5:AG11" si="3">IF(R5&gt;0,R5/24,"no data")</f>
        <v>149.83333333333334</v>
      </c>
      <c r="AH5" s="224">
        <f t="shared" ref="AH5:AH11" si="4">IF(U5&gt;0,(U5/R5),"no data")</f>
        <v>0.96190211345939935</v>
      </c>
      <c r="AI5" s="226">
        <f t="shared" ref="AI5:AI11" si="5">IF(U5&gt;0,(1440-((W5*X5)+(Y5*Z5)+(AA5*AB5))/(W5+Y5+AA5))/1440,"no data")</f>
        <v>1</v>
      </c>
      <c r="AJ5" s="227">
        <f t="shared" ref="AJ5:AJ11" si="6">IF(U5&gt;0,(1440-((X5*W5+AT5*AU5)+(Z5*Y5+AV5*AW5)+(AA5*AB5+AX5*AY5))/(W5+Y5+AA5))/1440,"no data")</f>
        <v>1</v>
      </c>
      <c r="AK5" s="271">
        <v>9.5030000000000001</v>
      </c>
      <c r="AL5" s="272">
        <v>134.85</v>
      </c>
      <c r="AM5" s="38">
        <f t="shared" ref="AM5:AM11" si="7">AK5*AL5</f>
        <v>1281.47955</v>
      </c>
      <c r="AN5" s="271">
        <v>30.745999999999999</v>
      </c>
      <c r="AO5" s="322">
        <v>941.6</v>
      </c>
      <c r="AP5" s="39">
        <f t="shared" ref="AP5:AP11" si="8">AN5*AO5</f>
        <v>28950.4336</v>
      </c>
      <c r="AQ5" s="319">
        <f t="shared" ref="AQ5:AQ11" si="9">IF(U5&gt;0,((((AK5*AL5)+(AN5*AO5))/(U5*1000))*1000000),"no data")</f>
        <v>8740.0731858918753</v>
      </c>
      <c r="AR5" s="229">
        <f t="shared" ref="AR5:AR11" si="10">S5/24</f>
        <v>146.5</v>
      </c>
      <c r="AS5" s="13"/>
      <c r="AT5" s="27">
        <v>0</v>
      </c>
      <c r="AU5" s="40">
        <v>0</v>
      </c>
      <c r="AV5" s="40">
        <v>0</v>
      </c>
      <c r="AW5" s="27">
        <v>0</v>
      </c>
      <c r="AX5" s="40">
        <v>0</v>
      </c>
      <c r="AY5" s="27">
        <v>0</v>
      </c>
      <c r="AZ5" s="27">
        <v>0</v>
      </c>
      <c r="BA5" s="4"/>
      <c r="BB5" s="41">
        <v>1057</v>
      </c>
      <c r="BC5" s="41">
        <v>1096</v>
      </c>
      <c r="BD5" s="41">
        <v>1416</v>
      </c>
      <c r="BE5" s="41">
        <f t="shared" ref="BE5:BE11" si="11">BC5-BB5</f>
        <v>39</v>
      </c>
      <c r="BF5" s="41">
        <f t="shared" ref="BF5:BF11" si="12">AQ5</f>
        <v>8740.0731858918753</v>
      </c>
      <c r="BG5" s="77">
        <f t="shared" ref="BG5:BG11" si="13">BD5/24</f>
        <v>59</v>
      </c>
      <c r="BH5" s="43">
        <v>2.1960000000000002</v>
      </c>
      <c r="BI5" s="44">
        <v>2.1960000000000002</v>
      </c>
      <c r="BJ5" s="45">
        <v>27</v>
      </c>
      <c r="BK5" s="46">
        <v>28.65</v>
      </c>
      <c r="BL5" s="45">
        <v>23.33</v>
      </c>
      <c r="BM5" s="45">
        <v>28.15</v>
      </c>
      <c r="BN5" s="47">
        <v>991.96</v>
      </c>
      <c r="BO5" s="45">
        <v>50.02</v>
      </c>
      <c r="BP5" s="48">
        <v>0.93769999999999998</v>
      </c>
      <c r="BQ5" s="66">
        <v>95.64</v>
      </c>
      <c r="BR5" s="45">
        <v>86.45</v>
      </c>
      <c r="BS5" s="41">
        <v>12739</v>
      </c>
      <c r="BT5" s="41">
        <v>12193</v>
      </c>
      <c r="BU5" s="51">
        <f t="shared" ref="BU5:BU11" si="14">BT5-BS5</f>
        <v>-546</v>
      </c>
      <c r="BV5" s="41">
        <f t="shared" ref="BV5:BV11" si="15">BH5+BI5</f>
        <v>4.3920000000000003</v>
      </c>
      <c r="BW5" s="42">
        <v>24</v>
      </c>
      <c r="BX5" s="42">
        <v>24</v>
      </c>
      <c r="BZ5" s="42">
        <v>24</v>
      </c>
      <c r="CA5" s="42">
        <v>5.83</v>
      </c>
      <c r="CC5" s="42">
        <v>2.1</v>
      </c>
      <c r="CD5" s="42">
        <v>3.4</v>
      </c>
      <c r="CE5" s="42">
        <v>1.8</v>
      </c>
      <c r="CF5" s="42">
        <v>1.2</v>
      </c>
    </row>
    <row r="6" spans="1:84">
      <c r="A6" s="452"/>
      <c r="B6" s="24">
        <v>43186</v>
      </c>
      <c r="C6" s="266">
        <v>80.2</v>
      </c>
      <c r="D6" s="26">
        <v>0.53200000000000003</v>
      </c>
      <c r="E6" s="268">
        <v>63.5</v>
      </c>
      <c r="F6" s="266">
        <v>94</v>
      </c>
      <c r="G6" s="266">
        <v>65</v>
      </c>
      <c r="H6" s="266">
        <v>11</v>
      </c>
      <c r="I6" s="266">
        <v>8</v>
      </c>
      <c r="J6" s="266">
        <v>24</v>
      </c>
      <c r="K6" s="269">
        <v>0</v>
      </c>
      <c r="L6" s="269">
        <v>0</v>
      </c>
      <c r="M6" s="269">
        <v>0</v>
      </c>
      <c r="N6" s="266">
        <v>0</v>
      </c>
      <c r="O6" s="266">
        <v>0</v>
      </c>
      <c r="P6" s="266">
        <v>11</v>
      </c>
      <c r="Q6" s="266">
        <v>8</v>
      </c>
      <c r="R6" s="267">
        <v>3594</v>
      </c>
      <c r="S6" s="267">
        <v>2624</v>
      </c>
      <c r="T6" s="267">
        <v>2624</v>
      </c>
      <c r="U6" s="267">
        <v>2580</v>
      </c>
      <c r="V6" s="267">
        <v>2675</v>
      </c>
      <c r="W6" s="266">
        <v>45</v>
      </c>
      <c r="X6" s="266">
        <v>744</v>
      </c>
      <c r="Y6" s="270">
        <v>45</v>
      </c>
      <c r="Z6" s="28">
        <v>0</v>
      </c>
      <c r="AA6" s="28">
        <v>59</v>
      </c>
      <c r="AB6" s="27">
        <v>0</v>
      </c>
      <c r="AC6" s="221">
        <f t="shared" si="0"/>
        <v>95</v>
      </c>
      <c r="AD6" s="222">
        <f t="shared" si="1"/>
        <v>-44</v>
      </c>
      <c r="AE6" s="223">
        <v>153</v>
      </c>
      <c r="AF6" s="224">
        <f t="shared" si="2"/>
        <v>0.72848583877995643</v>
      </c>
      <c r="AG6" s="225">
        <f t="shared" si="3"/>
        <v>149.75</v>
      </c>
      <c r="AH6" s="224">
        <f t="shared" si="4"/>
        <v>0.71786310517529217</v>
      </c>
      <c r="AI6" s="226">
        <f t="shared" si="5"/>
        <v>0.84395973154362425</v>
      </c>
      <c r="AJ6" s="227">
        <f t="shared" si="6"/>
        <v>0.73253169276659202</v>
      </c>
      <c r="AK6" s="271">
        <v>9.4960000000000004</v>
      </c>
      <c r="AL6" s="272">
        <v>135.91</v>
      </c>
      <c r="AM6" s="38">
        <f t="shared" si="7"/>
        <v>1290.6013600000001</v>
      </c>
      <c r="AN6" s="271">
        <v>22.66</v>
      </c>
      <c r="AO6" s="322">
        <v>958.3</v>
      </c>
      <c r="AP6" s="39">
        <f t="shared" si="8"/>
        <v>21715.077999999998</v>
      </c>
      <c r="AQ6" s="228">
        <f t="shared" si="9"/>
        <v>8916.9299844961242</v>
      </c>
      <c r="AR6" s="229">
        <f t="shared" si="10"/>
        <v>109.33333333333333</v>
      </c>
      <c r="AS6" s="13"/>
      <c r="AT6" s="27">
        <v>20</v>
      </c>
      <c r="AU6" s="40">
        <v>76</v>
      </c>
      <c r="AV6" s="40">
        <v>0</v>
      </c>
      <c r="AW6" s="27">
        <v>0</v>
      </c>
      <c r="AX6" s="40">
        <v>29</v>
      </c>
      <c r="AY6" s="27">
        <v>772</v>
      </c>
      <c r="AZ6" s="27">
        <v>0</v>
      </c>
      <c r="BA6" s="4"/>
      <c r="BB6" s="41">
        <v>523</v>
      </c>
      <c r="BC6" s="41">
        <v>1088</v>
      </c>
      <c r="BD6" s="41">
        <v>1064</v>
      </c>
      <c r="BE6" s="41">
        <f t="shared" si="11"/>
        <v>565</v>
      </c>
      <c r="BF6" s="41">
        <f t="shared" si="12"/>
        <v>8916.9299844961242</v>
      </c>
      <c r="BG6" s="77">
        <f t="shared" si="13"/>
        <v>44.333333333333336</v>
      </c>
      <c r="BH6" s="43">
        <v>1</v>
      </c>
      <c r="BI6" s="44">
        <v>2.444</v>
      </c>
      <c r="BJ6" s="45">
        <v>27.9</v>
      </c>
      <c r="BK6" s="45">
        <v>14.26</v>
      </c>
      <c r="BL6" s="46">
        <v>22.76</v>
      </c>
      <c r="BM6" s="45">
        <v>27.72</v>
      </c>
      <c r="BN6" s="47">
        <v>987.42</v>
      </c>
      <c r="BO6" s="45">
        <v>50</v>
      </c>
      <c r="BP6" s="48">
        <v>0.93740000000000001</v>
      </c>
      <c r="BQ6" s="52">
        <v>95.5</v>
      </c>
      <c r="BR6" s="45">
        <v>86.55</v>
      </c>
      <c r="BS6" s="41">
        <v>12365</v>
      </c>
      <c r="BT6" s="41">
        <v>12001</v>
      </c>
      <c r="BU6" s="51">
        <f t="shared" si="14"/>
        <v>-364</v>
      </c>
      <c r="BV6" s="41">
        <f t="shared" si="15"/>
        <v>3.444</v>
      </c>
      <c r="BW6" s="42">
        <v>11.37</v>
      </c>
      <c r="BX6" s="42">
        <v>24</v>
      </c>
      <c r="BZ6" s="42">
        <v>10.38</v>
      </c>
      <c r="CA6" s="42">
        <v>6.92</v>
      </c>
      <c r="CC6" s="42">
        <v>2.1</v>
      </c>
      <c r="CD6" s="42">
        <v>3.6</v>
      </c>
      <c r="CE6" s="42">
        <v>1.8</v>
      </c>
      <c r="CF6" s="42">
        <v>1.2</v>
      </c>
    </row>
    <row r="7" spans="1:84">
      <c r="A7" s="452"/>
      <c r="B7" s="24">
        <v>43187</v>
      </c>
      <c r="C7" s="242">
        <v>82.03</v>
      </c>
      <c r="D7" s="26">
        <v>0.56679999999999997</v>
      </c>
      <c r="E7" s="242">
        <v>66.290000000000006</v>
      </c>
      <c r="F7" s="242">
        <v>96</v>
      </c>
      <c r="G7" s="242">
        <v>68</v>
      </c>
      <c r="H7" s="242">
        <v>24</v>
      </c>
      <c r="I7" s="242">
        <v>0</v>
      </c>
      <c r="J7" s="242">
        <v>24</v>
      </c>
      <c r="K7" s="242">
        <v>0</v>
      </c>
      <c r="L7" s="242">
        <v>0</v>
      </c>
      <c r="M7" s="242">
        <v>0</v>
      </c>
      <c r="N7" s="242">
        <v>0</v>
      </c>
      <c r="O7" s="242">
        <v>0</v>
      </c>
      <c r="P7" s="242">
        <v>24</v>
      </c>
      <c r="Q7" s="242">
        <v>0</v>
      </c>
      <c r="R7" s="267">
        <v>3575</v>
      </c>
      <c r="S7" s="267">
        <v>3502</v>
      </c>
      <c r="T7" s="267">
        <v>3502</v>
      </c>
      <c r="U7" s="267">
        <v>3432</v>
      </c>
      <c r="V7" s="267">
        <v>3543</v>
      </c>
      <c r="W7" s="266">
        <v>44</v>
      </c>
      <c r="X7" s="266">
        <v>0</v>
      </c>
      <c r="Y7" s="270">
        <v>45</v>
      </c>
      <c r="Z7" s="28">
        <v>0</v>
      </c>
      <c r="AA7" s="28">
        <v>58</v>
      </c>
      <c r="AB7" s="27">
        <v>0</v>
      </c>
      <c r="AC7" s="221">
        <f t="shared" si="0"/>
        <v>111</v>
      </c>
      <c r="AD7" s="222">
        <f t="shared" si="1"/>
        <v>-70</v>
      </c>
      <c r="AE7" s="223">
        <v>150</v>
      </c>
      <c r="AF7" s="224">
        <f t="shared" si="2"/>
        <v>0.98416666666666663</v>
      </c>
      <c r="AG7" s="225">
        <f t="shared" si="3"/>
        <v>148.95833333333334</v>
      </c>
      <c r="AH7" s="224">
        <f t="shared" si="4"/>
        <v>0.96</v>
      </c>
      <c r="AI7" s="226">
        <f t="shared" si="5"/>
        <v>1</v>
      </c>
      <c r="AJ7" s="227">
        <f t="shared" si="6"/>
        <v>1</v>
      </c>
      <c r="AK7" s="271">
        <v>9.548</v>
      </c>
      <c r="AL7" s="272">
        <v>137.28</v>
      </c>
      <c r="AM7" s="38">
        <f t="shared" si="7"/>
        <v>1310.74944</v>
      </c>
      <c r="AN7" s="271">
        <v>29.71</v>
      </c>
      <c r="AO7" s="322">
        <v>965.4</v>
      </c>
      <c r="AP7" s="39">
        <f t="shared" si="8"/>
        <v>28682.034</v>
      </c>
      <c r="AQ7" s="228">
        <f t="shared" si="9"/>
        <v>8739.1560139860139</v>
      </c>
      <c r="AR7" s="229">
        <f t="shared" si="10"/>
        <v>145.91666666666666</v>
      </c>
      <c r="AS7" s="13"/>
      <c r="AT7" s="27">
        <v>0</v>
      </c>
      <c r="AU7" s="40">
        <v>0</v>
      </c>
      <c r="AV7" s="40">
        <v>0</v>
      </c>
      <c r="AW7" s="27">
        <v>0</v>
      </c>
      <c r="AX7" s="40">
        <v>0</v>
      </c>
      <c r="AY7" s="27">
        <v>0</v>
      </c>
      <c r="AZ7" s="27">
        <v>0</v>
      </c>
      <c r="BA7" s="4"/>
      <c r="BB7" s="41">
        <v>1063</v>
      </c>
      <c r="BC7" s="41">
        <v>1081</v>
      </c>
      <c r="BD7" s="41">
        <v>1399</v>
      </c>
      <c r="BE7" s="41">
        <f t="shared" si="11"/>
        <v>18</v>
      </c>
      <c r="BF7" s="41">
        <f t="shared" si="12"/>
        <v>8739.1560139860139</v>
      </c>
      <c r="BG7" s="77">
        <f t="shared" si="13"/>
        <v>58.291666666666664</v>
      </c>
      <c r="BH7" s="43">
        <v>2.0289999999999999</v>
      </c>
      <c r="BI7" s="44">
        <v>2.0630000000000002</v>
      </c>
      <c r="BJ7" s="45">
        <v>28.93</v>
      </c>
      <c r="BK7" s="46">
        <v>27.81</v>
      </c>
      <c r="BL7" s="45">
        <v>22.33</v>
      </c>
      <c r="BM7" s="45">
        <v>28.15</v>
      </c>
      <c r="BN7" s="47">
        <v>989.4</v>
      </c>
      <c r="BO7" s="45">
        <v>50.07</v>
      </c>
      <c r="BP7" s="48">
        <v>0.93679999999999997</v>
      </c>
      <c r="BQ7" s="46">
        <v>96.63</v>
      </c>
      <c r="BR7" s="45">
        <v>86.63</v>
      </c>
      <c r="BS7" s="41">
        <v>12289</v>
      </c>
      <c r="BT7" s="41">
        <v>11929</v>
      </c>
      <c r="BU7" s="51">
        <f t="shared" si="14"/>
        <v>-360</v>
      </c>
      <c r="BV7" s="41">
        <f t="shared" si="15"/>
        <v>4.0920000000000005</v>
      </c>
      <c r="BW7" s="42">
        <v>24</v>
      </c>
      <c r="BX7" s="42">
        <v>24</v>
      </c>
      <c r="BZ7" s="42">
        <v>24</v>
      </c>
      <c r="CA7" s="42">
        <v>7.25</v>
      </c>
      <c r="CC7" s="42">
        <v>2</v>
      </c>
      <c r="CD7" s="42">
        <v>4</v>
      </c>
      <c r="CE7" s="42">
        <v>1.8</v>
      </c>
      <c r="CF7" s="42">
        <v>1.3</v>
      </c>
    </row>
    <row r="8" spans="1:84">
      <c r="A8" s="452"/>
      <c r="B8" s="24">
        <v>43188</v>
      </c>
      <c r="C8" s="25">
        <v>83.88</v>
      </c>
      <c r="D8" s="36">
        <v>0.48859999999999998</v>
      </c>
      <c r="E8" s="38">
        <v>64.45</v>
      </c>
      <c r="F8" s="242">
        <v>98</v>
      </c>
      <c r="G8" s="27">
        <v>70</v>
      </c>
      <c r="H8" s="27">
        <v>24</v>
      </c>
      <c r="I8" s="27">
        <v>0</v>
      </c>
      <c r="J8" s="27">
        <v>24</v>
      </c>
      <c r="K8" s="27">
        <v>0</v>
      </c>
      <c r="L8" s="29">
        <v>0</v>
      </c>
      <c r="M8" s="29">
        <v>0</v>
      </c>
      <c r="N8" s="29">
        <v>0</v>
      </c>
      <c r="O8" s="29">
        <v>0</v>
      </c>
      <c r="P8" s="29">
        <v>24</v>
      </c>
      <c r="Q8" s="29">
        <v>0</v>
      </c>
      <c r="R8" s="267">
        <v>3556</v>
      </c>
      <c r="S8" s="267">
        <v>3519</v>
      </c>
      <c r="T8" s="267">
        <v>3519</v>
      </c>
      <c r="U8" s="267">
        <v>3448</v>
      </c>
      <c r="V8" s="267">
        <v>3557</v>
      </c>
      <c r="W8" s="27">
        <v>44</v>
      </c>
      <c r="X8" s="27">
        <v>0</v>
      </c>
      <c r="Y8" s="28">
        <v>45</v>
      </c>
      <c r="Z8" s="28">
        <v>0</v>
      </c>
      <c r="AA8" s="28">
        <v>58</v>
      </c>
      <c r="AB8" s="27">
        <v>0</v>
      </c>
      <c r="AC8" s="221">
        <f t="shared" si="0"/>
        <v>109</v>
      </c>
      <c r="AD8" s="222">
        <f t="shared" si="1"/>
        <v>-71</v>
      </c>
      <c r="AE8" s="223">
        <v>152</v>
      </c>
      <c r="AF8" s="224">
        <f t="shared" si="2"/>
        <v>0.97505482456140347</v>
      </c>
      <c r="AG8" s="225">
        <f t="shared" si="3"/>
        <v>148.16666666666666</v>
      </c>
      <c r="AH8" s="224">
        <f t="shared" si="4"/>
        <v>0.96962879640044997</v>
      </c>
      <c r="AI8" s="226">
        <f t="shared" si="5"/>
        <v>1</v>
      </c>
      <c r="AJ8" s="227">
        <f t="shared" si="6"/>
        <v>1</v>
      </c>
      <c r="AK8" s="271">
        <v>9.82</v>
      </c>
      <c r="AL8" s="272">
        <v>134.63999999999999</v>
      </c>
      <c r="AM8" s="38">
        <f t="shared" si="7"/>
        <v>1322.1648</v>
      </c>
      <c r="AN8" s="271">
        <v>29.84</v>
      </c>
      <c r="AO8" s="322">
        <v>970</v>
      </c>
      <c r="AP8" s="39">
        <f t="shared" si="8"/>
        <v>28944.799999999999</v>
      </c>
      <c r="AQ8" s="201">
        <f t="shared" si="9"/>
        <v>8778.1220417633413</v>
      </c>
      <c r="AR8" s="198">
        <f t="shared" si="10"/>
        <v>146.625</v>
      </c>
      <c r="AS8" s="13"/>
      <c r="AT8" s="27">
        <v>0</v>
      </c>
      <c r="AU8" s="40">
        <v>0</v>
      </c>
      <c r="AV8" s="40">
        <v>0</v>
      </c>
      <c r="AW8" s="27">
        <v>0</v>
      </c>
      <c r="AX8" s="40">
        <v>0</v>
      </c>
      <c r="AY8" s="27">
        <v>0</v>
      </c>
      <c r="AZ8" s="27">
        <v>0</v>
      </c>
      <c r="BA8" s="4"/>
      <c r="BB8" s="41">
        <v>1067</v>
      </c>
      <c r="BC8" s="41">
        <v>1089</v>
      </c>
      <c r="BD8" s="41">
        <v>1401</v>
      </c>
      <c r="BE8" s="41">
        <f t="shared" si="11"/>
        <v>22</v>
      </c>
      <c r="BF8" s="41">
        <f t="shared" si="12"/>
        <v>8778.1220417633413</v>
      </c>
      <c r="BG8" s="77">
        <f t="shared" si="13"/>
        <v>58.375</v>
      </c>
      <c r="BH8" s="43">
        <v>2.0510000000000002</v>
      </c>
      <c r="BI8" s="44">
        <v>2.0510000000000002</v>
      </c>
      <c r="BJ8" s="45">
        <v>28.86</v>
      </c>
      <c r="BK8" s="46">
        <v>27.83</v>
      </c>
      <c r="BL8" s="45">
        <v>22.43</v>
      </c>
      <c r="BM8" s="45">
        <v>27.99</v>
      </c>
      <c r="BN8" s="47">
        <v>988.5</v>
      </c>
      <c r="BO8" s="45">
        <v>50.14</v>
      </c>
      <c r="BP8" s="53">
        <v>0.93799999999999994</v>
      </c>
      <c r="BQ8" s="45">
        <v>96.45</v>
      </c>
      <c r="BR8" s="45">
        <v>86.43</v>
      </c>
      <c r="BS8" s="41">
        <v>12253</v>
      </c>
      <c r="BT8" s="41">
        <v>11869</v>
      </c>
      <c r="BU8" s="51">
        <f t="shared" si="14"/>
        <v>-384</v>
      </c>
      <c r="BV8" s="41">
        <f t="shared" si="15"/>
        <v>4.1020000000000003</v>
      </c>
      <c r="BW8" s="42">
        <v>24</v>
      </c>
      <c r="BX8" s="42">
        <v>24</v>
      </c>
      <c r="BZ8" s="42">
        <v>24</v>
      </c>
      <c r="CA8" s="42">
        <v>8.9499999999999993</v>
      </c>
      <c r="CC8" s="42">
        <v>2.2000000000000002</v>
      </c>
      <c r="CD8" s="42">
        <v>4.2</v>
      </c>
      <c r="CE8" s="42">
        <v>1.8</v>
      </c>
      <c r="CF8" s="42">
        <v>1.5</v>
      </c>
    </row>
    <row r="9" spans="1:84">
      <c r="A9" s="452"/>
      <c r="B9" s="24">
        <v>43189</v>
      </c>
      <c r="C9" s="25">
        <v>85.96</v>
      </c>
      <c r="D9" s="26">
        <v>0.41870000000000002</v>
      </c>
      <c r="E9" s="38">
        <v>63.13</v>
      </c>
      <c r="F9" s="242">
        <v>103</v>
      </c>
      <c r="G9" s="27">
        <v>72</v>
      </c>
      <c r="H9" s="28">
        <v>24</v>
      </c>
      <c r="I9" s="28">
        <v>0</v>
      </c>
      <c r="J9" s="28">
        <v>24</v>
      </c>
      <c r="K9" s="28">
        <v>0</v>
      </c>
      <c r="L9" s="29">
        <v>0</v>
      </c>
      <c r="M9" s="29">
        <v>0</v>
      </c>
      <c r="N9" s="29">
        <v>0</v>
      </c>
      <c r="O9" s="29">
        <v>0</v>
      </c>
      <c r="P9" s="29">
        <v>23</v>
      </c>
      <c r="Q9" s="29">
        <v>0</v>
      </c>
      <c r="R9" s="267">
        <v>3537</v>
      </c>
      <c r="S9" s="267">
        <v>3491</v>
      </c>
      <c r="T9" s="267">
        <v>3491</v>
      </c>
      <c r="U9" s="267">
        <v>3416</v>
      </c>
      <c r="V9" s="267">
        <v>3527</v>
      </c>
      <c r="W9" s="28">
        <v>44</v>
      </c>
      <c r="X9" s="28">
        <v>0</v>
      </c>
      <c r="Y9" s="28">
        <v>45</v>
      </c>
      <c r="Z9" s="28">
        <v>0</v>
      </c>
      <c r="AA9" s="28">
        <v>58</v>
      </c>
      <c r="AB9" s="27">
        <v>0</v>
      </c>
      <c r="AC9" s="221">
        <f t="shared" si="0"/>
        <v>111</v>
      </c>
      <c r="AD9" s="222">
        <f t="shared" si="1"/>
        <v>-75</v>
      </c>
      <c r="AE9" s="223">
        <v>153</v>
      </c>
      <c r="AF9" s="224">
        <f t="shared" si="2"/>
        <v>0.96051198257080606</v>
      </c>
      <c r="AG9" s="225">
        <f t="shared" si="3"/>
        <v>147.375</v>
      </c>
      <c r="AH9" s="224">
        <f t="shared" si="4"/>
        <v>0.96579021769861462</v>
      </c>
      <c r="AI9" s="226">
        <f t="shared" si="5"/>
        <v>1</v>
      </c>
      <c r="AJ9" s="227">
        <f t="shared" si="6"/>
        <v>0.99631519274376423</v>
      </c>
      <c r="AK9" s="271">
        <v>9.85</v>
      </c>
      <c r="AL9" s="272">
        <v>136.52000000000001</v>
      </c>
      <c r="AM9" s="38">
        <f t="shared" si="7"/>
        <v>1344.722</v>
      </c>
      <c r="AN9" s="271">
        <v>29.4</v>
      </c>
      <c r="AO9" s="322">
        <v>970</v>
      </c>
      <c r="AP9" s="39">
        <f t="shared" si="8"/>
        <v>28518</v>
      </c>
      <c r="AQ9" s="201">
        <f t="shared" si="9"/>
        <v>8742.0146370023431</v>
      </c>
      <c r="AR9" s="198">
        <f t="shared" si="10"/>
        <v>145.45833333333334</v>
      </c>
      <c r="AS9" s="13"/>
      <c r="AT9" s="27">
        <v>0</v>
      </c>
      <c r="AU9" s="40">
        <v>0</v>
      </c>
      <c r="AV9" s="40">
        <v>0</v>
      </c>
      <c r="AW9" s="27">
        <v>0</v>
      </c>
      <c r="AX9" s="40">
        <v>13</v>
      </c>
      <c r="AY9" s="27">
        <v>60</v>
      </c>
      <c r="AZ9" s="27">
        <v>0</v>
      </c>
      <c r="BA9" s="4"/>
      <c r="BB9" s="41">
        <v>1068</v>
      </c>
      <c r="BC9" s="41">
        <v>1088</v>
      </c>
      <c r="BD9" s="41">
        <v>1371</v>
      </c>
      <c r="BE9" s="41">
        <f t="shared" si="11"/>
        <v>20</v>
      </c>
      <c r="BF9" s="41">
        <f t="shared" si="12"/>
        <v>8742.0146370023431</v>
      </c>
      <c r="BG9" s="77">
        <f t="shared" si="13"/>
        <v>57.125</v>
      </c>
      <c r="BH9" s="43">
        <v>1.863</v>
      </c>
      <c r="BI9" s="44">
        <v>1.863</v>
      </c>
      <c r="BJ9" s="45">
        <v>28.74</v>
      </c>
      <c r="BK9" s="46">
        <v>27.66</v>
      </c>
      <c r="BL9" s="47">
        <v>22.27</v>
      </c>
      <c r="BM9" s="47">
        <v>27.99</v>
      </c>
      <c r="BN9" s="47">
        <v>985.67</v>
      </c>
      <c r="BO9" s="45">
        <v>50.1</v>
      </c>
      <c r="BP9" s="48">
        <v>0.9375</v>
      </c>
      <c r="BQ9" s="42">
        <v>96.16</v>
      </c>
      <c r="BR9" s="42">
        <v>86.43</v>
      </c>
      <c r="BS9" s="41">
        <v>12168</v>
      </c>
      <c r="BT9" s="41">
        <v>11811</v>
      </c>
      <c r="BU9" s="51">
        <f t="shared" si="14"/>
        <v>-357</v>
      </c>
      <c r="BV9" s="41">
        <f t="shared" si="15"/>
        <v>3.726</v>
      </c>
      <c r="BW9" s="42">
        <v>23</v>
      </c>
      <c r="BX9" s="42">
        <v>23</v>
      </c>
      <c r="BZ9" s="42">
        <v>24</v>
      </c>
      <c r="CA9" s="42">
        <v>7.77</v>
      </c>
      <c r="CC9" s="42">
        <v>2.1</v>
      </c>
      <c r="CD9" s="42">
        <v>4.2</v>
      </c>
      <c r="CE9" s="42">
        <v>1.8</v>
      </c>
      <c r="CF9" s="42">
        <v>1.5</v>
      </c>
    </row>
    <row r="10" spans="1:84">
      <c r="A10" s="452"/>
      <c r="B10" s="24">
        <v>43190</v>
      </c>
      <c r="C10" s="25">
        <v>85</v>
      </c>
      <c r="D10" s="26">
        <v>0.44</v>
      </c>
      <c r="E10" s="38">
        <v>63</v>
      </c>
      <c r="F10" s="242">
        <v>101</v>
      </c>
      <c r="G10" s="27">
        <v>70</v>
      </c>
      <c r="H10" s="28">
        <v>24</v>
      </c>
      <c r="I10" s="28">
        <v>0</v>
      </c>
      <c r="J10" s="28">
        <v>24</v>
      </c>
      <c r="K10" s="28">
        <v>0</v>
      </c>
      <c r="L10" s="29">
        <v>0</v>
      </c>
      <c r="M10" s="29">
        <v>0</v>
      </c>
      <c r="N10" s="29">
        <v>0</v>
      </c>
      <c r="O10" s="29">
        <v>0</v>
      </c>
      <c r="P10" s="29">
        <v>13</v>
      </c>
      <c r="Q10" s="29">
        <v>0</v>
      </c>
      <c r="R10" s="267">
        <v>3540</v>
      </c>
      <c r="S10" s="267">
        <v>3359</v>
      </c>
      <c r="T10" s="267">
        <v>3359</v>
      </c>
      <c r="U10" s="267">
        <v>3305</v>
      </c>
      <c r="V10" s="267">
        <v>3407</v>
      </c>
      <c r="W10" s="28">
        <v>44</v>
      </c>
      <c r="X10" s="28">
        <v>0</v>
      </c>
      <c r="Y10" s="28">
        <v>45</v>
      </c>
      <c r="Z10" s="28">
        <v>0</v>
      </c>
      <c r="AA10" s="28">
        <v>58</v>
      </c>
      <c r="AB10" s="27">
        <v>0</v>
      </c>
      <c r="AC10" s="32">
        <f t="shared" si="0"/>
        <v>102</v>
      </c>
      <c r="AD10" s="33">
        <f t="shared" si="1"/>
        <v>-54</v>
      </c>
      <c r="AE10" s="27">
        <v>152</v>
      </c>
      <c r="AF10" s="34">
        <f t="shared" si="2"/>
        <v>0.93393640350877194</v>
      </c>
      <c r="AG10" s="35">
        <f t="shared" si="3"/>
        <v>147.5</v>
      </c>
      <c r="AH10" s="34">
        <f t="shared" si="4"/>
        <v>0.93361581920903958</v>
      </c>
      <c r="AI10" s="226">
        <f t="shared" si="5"/>
        <v>1</v>
      </c>
      <c r="AJ10" s="37">
        <f t="shared" si="6"/>
        <v>0.95323129251700689</v>
      </c>
      <c r="AK10" s="271">
        <v>9.7799999999999994</v>
      </c>
      <c r="AL10" s="272">
        <v>138.31</v>
      </c>
      <c r="AM10" s="38">
        <f t="shared" si="7"/>
        <v>1352.6717999999998</v>
      </c>
      <c r="AN10" s="271">
        <v>28.35</v>
      </c>
      <c r="AO10" s="322">
        <v>967.3</v>
      </c>
      <c r="AP10" s="39">
        <f t="shared" si="8"/>
        <v>27422.955000000002</v>
      </c>
      <c r="AQ10" s="201">
        <f t="shared" si="9"/>
        <v>8706.6949470499258</v>
      </c>
      <c r="AR10" s="198">
        <f t="shared" si="10"/>
        <v>139.95833333333334</v>
      </c>
      <c r="AS10" s="13"/>
      <c r="AT10" s="27">
        <v>0</v>
      </c>
      <c r="AU10" s="40">
        <v>0</v>
      </c>
      <c r="AV10" s="40">
        <v>0</v>
      </c>
      <c r="AW10" s="27">
        <v>0</v>
      </c>
      <c r="AX10" s="40">
        <v>15</v>
      </c>
      <c r="AY10" s="27">
        <v>660</v>
      </c>
      <c r="AZ10" s="27">
        <v>0</v>
      </c>
      <c r="BA10" s="4"/>
      <c r="BB10" s="41">
        <v>1069</v>
      </c>
      <c r="BC10" s="41">
        <v>1086</v>
      </c>
      <c r="BD10" s="41">
        <v>1252</v>
      </c>
      <c r="BE10" s="41">
        <f t="shared" si="11"/>
        <v>17</v>
      </c>
      <c r="BF10" s="41">
        <f t="shared" si="12"/>
        <v>8706.6949470499258</v>
      </c>
      <c r="BG10" s="77">
        <f t="shared" si="13"/>
        <v>52.166666666666664</v>
      </c>
      <c r="BH10" s="43">
        <v>1.2589999999999999</v>
      </c>
      <c r="BI10" s="44">
        <v>1.2549999999999999</v>
      </c>
      <c r="BJ10" s="45">
        <v>28.8</v>
      </c>
      <c r="BK10" s="46">
        <v>27.88</v>
      </c>
      <c r="BL10" s="47">
        <v>22.44</v>
      </c>
      <c r="BM10" s="47">
        <v>27.8</v>
      </c>
      <c r="BN10" s="47">
        <v>986.2</v>
      </c>
      <c r="BO10" s="45">
        <v>50.08</v>
      </c>
      <c r="BP10" s="48">
        <v>0.93700000000000006</v>
      </c>
      <c r="BQ10" s="42">
        <v>96.25</v>
      </c>
      <c r="BR10" s="42">
        <v>86.52</v>
      </c>
      <c r="BS10" s="41">
        <v>12254</v>
      </c>
      <c r="BT10" s="41">
        <v>11901</v>
      </c>
      <c r="BU10" s="51">
        <f t="shared" si="14"/>
        <v>-353</v>
      </c>
      <c r="BV10" s="41">
        <f t="shared" si="15"/>
        <v>2.5139999999999998</v>
      </c>
      <c r="BW10" s="41">
        <v>13</v>
      </c>
      <c r="BX10" s="41">
        <v>13</v>
      </c>
      <c r="BZ10" s="41">
        <v>24</v>
      </c>
      <c r="CA10" s="41">
        <v>7.2</v>
      </c>
      <c r="CC10" s="41">
        <v>2.1</v>
      </c>
      <c r="CD10" s="41">
        <v>4.2</v>
      </c>
      <c r="CE10" s="41">
        <v>1.8</v>
      </c>
      <c r="CF10" s="41">
        <v>1.3</v>
      </c>
    </row>
    <row r="11" spans="1:84">
      <c r="A11" s="453"/>
      <c r="B11" s="24">
        <v>43191</v>
      </c>
      <c r="C11" s="25">
        <v>82</v>
      </c>
      <c r="D11" s="26">
        <v>0.52</v>
      </c>
      <c r="E11" s="38">
        <v>64</v>
      </c>
      <c r="F11" s="27">
        <v>97</v>
      </c>
      <c r="G11" s="27">
        <v>68</v>
      </c>
      <c r="H11" s="28">
        <v>24</v>
      </c>
      <c r="I11" s="28">
        <v>0</v>
      </c>
      <c r="J11" s="28">
        <v>24</v>
      </c>
      <c r="K11" s="28">
        <v>0</v>
      </c>
      <c r="L11" s="29">
        <v>0</v>
      </c>
      <c r="M11" s="29">
        <v>0</v>
      </c>
      <c r="N11" s="29">
        <v>0</v>
      </c>
      <c r="O11" s="29">
        <v>0</v>
      </c>
      <c r="P11" s="29">
        <v>24</v>
      </c>
      <c r="Q11" s="29">
        <v>0</v>
      </c>
      <c r="R11" s="261">
        <v>3571</v>
      </c>
      <c r="S11" s="264">
        <v>3504</v>
      </c>
      <c r="T11" s="264">
        <v>3504</v>
      </c>
      <c r="U11" s="265">
        <v>3431</v>
      </c>
      <c r="V11" s="265">
        <v>3539</v>
      </c>
      <c r="W11" s="28">
        <v>44</v>
      </c>
      <c r="X11" s="28">
        <v>0</v>
      </c>
      <c r="Y11" s="28">
        <v>45</v>
      </c>
      <c r="Z11" s="28">
        <v>0</v>
      </c>
      <c r="AA11" s="28">
        <v>58</v>
      </c>
      <c r="AB11" s="27">
        <v>0</v>
      </c>
      <c r="AC11" s="32">
        <f t="shared" si="0"/>
        <v>108</v>
      </c>
      <c r="AD11" s="33">
        <f t="shared" si="1"/>
        <v>-73</v>
      </c>
      <c r="AE11" s="27">
        <v>152</v>
      </c>
      <c r="AF11" s="34">
        <f t="shared" si="2"/>
        <v>0.97012061403508776</v>
      </c>
      <c r="AG11" s="35">
        <f t="shared" si="3"/>
        <v>148.79166666666666</v>
      </c>
      <c r="AH11" s="34">
        <f t="shared" si="4"/>
        <v>0.96079529543545228</v>
      </c>
      <c r="AI11" s="226">
        <f t="shared" si="5"/>
        <v>1</v>
      </c>
      <c r="AJ11" s="37">
        <f t="shared" si="6"/>
        <v>1</v>
      </c>
      <c r="AK11" s="234">
        <v>9.59</v>
      </c>
      <c r="AL11" s="237">
        <v>136.05000000000001</v>
      </c>
      <c r="AM11" s="38">
        <f t="shared" si="7"/>
        <v>1304.7195000000002</v>
      </c>
      <c r="AN11" s="234">
        <v>29.715</v>
      </c>
      <c r="AO11" s="330">
        <v>967.69</v>
      </c>
      <c r="AP11" s="39">
        <f t="shared" si="8"/>
        <v>28754.908350000002</v>
      </c>
      <c r="AQ11" s="201">
        <f t="shared" si="9"/>
        <v>8761.1856164383571</v>
      </c>
      <c r="AR11" s="198">
        <f t="shared" si="10"/>
        <v>146</v>
      </c>
      <c r="AS11" s="13"/>
      <c r="AT11" s="27">
        <v>0</v>
      </c>
      <c r="AU11" s="40">
        <v>0</v>
      </c>
      <c r="AV11" s="40">
        <v>0</v>
      </c>
      <c r="AW11" s="27">
        <v>0</v>
      </c>
      <c r="AX11" s="40">
        <v>0</v>
      </c>
      <c r="AY11" s="27">
        <v>0</v>
      </c>
      <c r="AZ11" s="27">
        <v>0</v>
      </c>
      <c r="BA11" s="4"/>
      <c r="BB11" s="41">
        <v>1066</v>
      </c>
      <c r="BC11" s="41">
        <v>1080</v>
      </c>
      <c r="BD11" s="41">
        <v>1393</v>
      </c>
      <c r="BE11" s="41">
        <f t="shared" si="11"/>
        <v>14</v>
      </c>
      <c r="BF11" s="41">
        <f t="shared" si="12"/>
        <v>8761.1856164383571</v>
      </c>
      <c r="BG11" s="77">
        <f t="shared" si="13"/>
        <v>58.041666666666664</v>
      </c>
      <c r="BH11" s="43">
        <v>2.024</v>
      </c>
      <c r="BI11" s="44">
        <v>2.0529999999999999</v>
      </c>
      <c r="BJ11" s="45">
        <v>28.9</v>
      </c>
      <c r="BK11" s="46">
        <v>27.78</v>
      </c>
      <c r="BL11" s="47">
        <v>22.28</v>
      </c>
      <c r="BM11" s="47">
        <v>27.8</v>
      </c>
      <c r="BN11" s="47">
        <v>987.9</v>
      </c>
      <c r="BO11" s="45">
        <v>50.01</v>
      </c>
      <c r="BP11" s="48">
        <v>0.93720000000000003</v>
      </c>
      <c r="BQ11" s="42">
        <v>96.61</v>
      </c>
      <c r="BR11" s="42">
        <v>86.59</v>
      </c>
      <c r="BS11" s="41">
        <v>12249</v>
      </c>
      <c r="BT11" s="41">
        <v>11914</v>
      </c>
      <c r="BU11" s="51">
        <f t="shared" si="14"/>
        <v>-335</v>
      </c>
      <c r="BV11" s="41">
        <f t="shared" si="15"/>
        <v>4.077</v>
      </c>
      <c r="BW11" s="78">
        <v>24</v>
      </c>
      <c r="BX11" s="78">
        <v>24</v>
      </c>
      <c r="BZ11" s="78">
        <v>24</v>
      </c>
      <c r="CA11" s="78">
        <v>7.6</v>
      </c>
      <c r="CC11" s="78">
        <v>2.2000000000000002</v>
      </c>
      <c r="CD11" s="78">
        <v>4.2</v>
      </c>
      <c r="CE11" s="78">
        <v>1.8</v>
      </c>
      <c r="CF11" s="78">
        <v>1.5</v>
      </c>
    </row>
    <row r="12" spans="1:84">
      <c r="A12" s="451" t="s">
        <v>177</v>
      </c>
      <c r="B12" s="24">
        <v>43192</v>
      </c>
      <c r="C12" s="157">
        <v>82.3</v>
      </c>
      <c r="D12" s="158">
        <v>0.54900000000000004</v>
      </c>
      <c r="E12" s="157">
        <v>63</v>
      </c>
      <c r="F12" s="159">
        <v>95</v>
      </c>
      <c r="G12" s="159">
        <v>70</v>
      </c>
      <c r="H12" s="160">
        <v>24</v>
      </c>
      <c r="I12" s="160">
        <v>0</v>
      </c>
      <c r="J12" s="160">
        <v>24</v>
      </c>
      <c r="K12" s="160">
        <v>0</v>
      </c>
      <c r="L12" s="161">
        <v>0</v>
      </c>
      <c r="M12" s="161">
        <v>0</v>
      </c>
      <c r="N12" s="161">
        <v>0</v>
      </c>
      <c r="O12" s="161">
        <v>0</v>
      </c>
      <c r="P12" s="161">
        <v>24</v>
      </c>
      <c r="Q12" s="159">
        <v>0</v>
      </c>
      <c r="R12" s="159">
        <v>3572</v>
      </c>
      <c r="S12" s="159">
        <v>3489</v>
      </c>
      <c r="T12" s="159">
        <v>3489</v>
      </c>
      <c r="U12" s="159">
        <v>3413</v>
      </c>
      <c r="V12" s="160">
        <v>3522</v>
      </c>
      <c r="W12" s="160">
        <v>44</v>
      </c>
      <c r="X12" s="160">
        <v>0</v>
      </c>
      <c r="Y12" s="160">
        <v>45</v>
      </c>
      <c r="Z12" s="161">
        <v>0</v>
      </c>
      <c r="AA12" s="161">
        <v>58</v>
      </c>
      <c r="AB12" s="161">
        <v>0</v>
      </c>
      <c r="AC12" s="165">
        <f t="shared" ref="AC12:AC46" si="16">V12-U12+AZ12</f>
        <v>109</v>
      </c>
      <c r="AD12" s="166">
        <f t="shared" ref="AD12:AD46" si="17">U12-T12</f>
        <v>-76</v>
      </c>
      <c r="AE12" s="159">
        <v>150</v>
      </c>
      <c r="AF12" s="167">
        <f t="shared" ref="AF12:AF45" si="18">IF(AE12&gt;0, V12/(AE12*24),"no data")</f>
        <v>0.97833333333333339</v>
      </c>
      <c r="AG12" s="168">
        <f t="shared" ref="AG12:AG45" si="19">IF(R12&gt;0,R12/24,"no data")</f>
        <v>148.83333333333334</v>
      </c>
      <c r="AH12" s="167">
        <f t="shared" ref="AH12:AH45" si="20">IF(U12&gt;0,(U12/R12),"no data")</f>
        <v>0.95548712206047037</v>
      </c>
      <c r="AI12" s="169">
        <f>(1440-((W12*X12)+(Y12*Z12)+(AA12*AB12))/(W12+Y12+AA12))/1440</f>
        <v>1</v>
      </c>
      <c r="AJ12" s="170">
        <f t="shared" ref="AJ12:AJ45" si="21">IF(U12&gt;0,(1440-((X12*W12+AT12*AU12)+(Z12*Y12+AV12*AW12)+(AA12*AB12+AX12*AY12))/(W12+Y12+AA12))/1440,"no data")</f>
        <v>1</v>
      </c>
      <c r="AK12" s="235">
        <v>9.3650000000000002</v>
      </c>
      <c r="AL12" s="238">
        <v>133.26</v>
      </c>
      <c r="AM12" s="275">
        <f t="shared" ref="AM12:AM45" si="22">AK12*AL12</f>
        <v>1247.9799</v>
      </c>
      <c r="AN12" s="235">
        <v>29.6</v>
      </c>
      <c r="AO12" s="330">
        <v>969.32</v>
      </c>
      <c r="AP12" s="172">
        <f t="shared" ref="AP12:AP45" si="23">AN12*AO12</f>
        <v>28691.872000000003</v>
      </c>
      <c r="AQ12" s="202">
        <f t="shared" ref="AQ12:AQ45" si="24">IF(U12&gt;0,((((AK12*AL12)+(AN12*AO12))/(U12*1000))*1000000),"no data")</f>
        <v>8772.2976560210973</v>
      </c>
      <c r="AR12" s="199">
        <f t="shared" ref="AR12:AR20" si="25">S12/24</f>
        <v>145.375</v>
      </c>
      <c r="AS12" s="13"/>
      <c r="AT12" s="173">
        <v>0</v>
      </c>
      <c r="AU12" s="159">
        <v>0</v>
      </c>
      <c r="AV12" s="174">
        <v>0</v>
      </c>
      <c r="AW12" s="174">
        <v>0</v>
      </c>
      <c r="AX12" s="159">
        <v>0</v>
      </c>
      <c r="AY12" s="174">
        <v>0</v>
      </c>
      <c r="AZ12" s="159">
        <v>0</v>
      </c>
      <c r="BA12" s="4"/>
      <c r="BB12" s="159">
        <v>1061</v>
      </c>
      <c r="BC12" s="159">
        <v>1075</v>
      </c>
      <c r="BD12" s="159">
        <v>1386</v>
      </c>
      <c r="BE12" s="175">
        <f t="shared" ref="BE12:BE45" si="26">BC12-BB12</f>
        <v>14</v>
      </c>
      <c r="BF12" s="176">
        <f t="shared" ref="BF12:BF48" si="27">AQ12</f>
        <v>8772.2976560210973</v>
      </c>
      <c r="BG12" s="177">
        <f t="shared" ref="BG12:BG45" si="28">BD12/24</f>
        <v>57.75</v>
      </c>
      <c r="BH12" s="178">
        <v>2.0209999999999999</v>
      </c>
      <c r="BI12" s="156">
        <v>2.0209999999999999</v>
      </c>
      <c r="BJ12" s="177">
        <v>29</v>
      </c>
      <c r="BK12" s="175">
        <v>27.68</v>
      </c>
      <c r="BL12" s="175">
        <v>22.22</v>
      </c>
      <c r="BM12" s="175">
        <v>27.46</v>
      </c>
      <c r="BN12" s="175">
        <v>988.8</v>
      </c>
      <c r="BO12" s="177">
        <v>50</v>
      </c>
      <c r="BP12" s="180">
        <v>0.93779999999999997</v>
      </c>
      <c r="BQ12" s="186">
        <v>96.86</v>
      </c>
      <c r="BR12" s="186">
        <v>86.81</v>
      </c>
      <c r="BS12" s="179">
        <v>12255</v>
      </c>
      <c r="BT12" s="179">
        <v>11895</v>
      </c>
      <c r="BU12" s="51">
        <f t="shared" ref="BU12:BU45" si="29">BT12-BS12</f>
        <v>-360</v>
      </c>
      <c r="BV12" s="175">
        <f t="shared" ref="BV12:BV45" si="30">BH12+BI12</f>
        <v>4.0419999999999998</v>
      </c>
      <c r="BW12" s="177">
        <v>24</v>
      </c>
      <c r="BX12" s="177">
        <v>24</v>
      </c>
      <c r="BZ12" s="177">
        <v>24</v>
      </c>
      <c r="CA12" s="177">
        <v>7.9</v>
      </c>
      <c r="CC12" s="177">
        <v>2.1</v>
      </c>
      <c r="CD12" s="177">
        <v>4.2</v>
      </c>
      <c r="CE12" s="177">
        <v>1.8</v>
      </c>
      <c r="CF12" s="177">
        <v>1.3</v>
      </c>
    </row>
    <row r="13" spans="1:84">
      <c r="A13" s="452"/>
      <c r="B13" s="24">
        <v>43193</v>
      </c>
      <c r="C13" s="157">
        <v>83.9</v>
      </c>
      <c r="D13" s="197">
        <v>0.58399999999999996</v>
      </c>
      <c r="E13" s="157">
        <v>68</v>
      </c>
      <c r="F13" s="159">
        <v>97</v>
      </c>
      <c r="G13" s="159">
        <v>75</v>
      </c>
      <c r="H13" s="160">
        <v>24</v>
      </c>
      <c r="I13" s="160">
        <v>0</v>
      </c>
      <c r="J13" s="160">
        <v>24</v>
      </c>
      <c r="K13" s="160">
        <v>0</v>
      </c>
      <c r="L13" s="161">
        <v>0</v>
      </c>
      <c r="M13" s="161">
        <v>0</v>
      </c>
      <c r="N13" s="161">
        <v>0</v>
      </c>
      <c r="O13" s="161">
        <v>0</v>
      </c>
      <c r="P13" s="161">
        <v>24</v>
      </c>
      <c r="Q13" s="159">
        <v>0</v>
      </c>
      <c r="R13" s="159">
        <v>3558</v>
      </c>
      <c r="S13" s="159">
        <v>3457</v>
      </c>
      <c r="T13" s="159">
        <v>3457</v>
      </c>
      <c r="U13" s="159">
        <v>3388</v>
      </c>
      <c r="V13" s="160">
        <v>3500</v>
      </c>
      <c r="W13" s="160">
        <v>44</v>
      </c>
      <c r="X13" s="160">
        <v>0</v>
      </c>
      <c r="Y13" s="160">
        <v>44</v>
      </c>
      <c r="Z13" s="161">
        <v>0</v>
      </c>
      <c r="AA13" s="161">
        <v>58</v>
      </c>
      <c r="AB13" s="161">
        <v>0</v>
      </c>
      <c r="AC13" s="165">
        <f t="shared" si="16"/>
        <v>112</v>
      </c>
      <c r="AD13" s="166">
        <f t="shared" si="17"/>
        <v>-69</v>
      </c>
      <c r="AE13" s="159">
        <v>148</v>
      </c>
      <c r="AF13" s="167">
        <f t="shared" si="18"/>
        <v>0.98536036036036034</v>
      </c>
      <c r="AG13" s="168">
        <f t="shared" si="19"/>
        <v>148.25</v>
      </c>
      <c r="AH13" s="167">
        <f t="shared" si="20"/>
        <v>0.95222034851039905</v>
      </c>
      <c r="AI13" s="169">
        <f>(1440-((W13*X13)+(Y13*Z13)+(AA13*AB13))/(W13+Y13+AA13))/1440</f>
        <v>1</v>
      </c>
      <c r="AJ13" s="170">
        <f t="shared" si="21"/>
        <v>1</v>
      </c>
      <c r="AK13" s="235">
        <v>9.4049999999999994</v>
      </c>
      <c r="AL13" s="239">
        <v>135.35</v>
      </c>
      <c r="AM13" s="275">
        <f t="shared" si="22"/>
        <v>1272.9667499999998</v>
      </c>
      <c r="AN13" s="235">
        <v>29.326000000000001</v>
      </c>
      <c r="AO13" s="330">
        <v>968.69</v>
      </c>
      <c r="AP13" s="172">
        <f t="shared" si="23"/>
        <v>28407.802940000001</v>
      </c>
      <c r="AQ13" s="202">
        <f t="shared" si="24"/>
        <v>8760.5577597402607</v>
      </c>
      <c r="AR13" s="199">
        <f t="shared" si="25"/>
        <v>144.04166666666666</v>
      </c>
      <c r="AS13" s="13"/>
      <c r="AT13" s="173">
        <v>0</v>
      </c>
      <c r="AU13" s="159">
        <v>0</v>
      </c>
      <c r="AV13" s="174">
        <v>0</v>
      </c>
      <c r="AW13" s="174">
        <v>0</v>
      </c>
      <c r="AX13" s="159">
        <v>0</v>
      </c>
      <c r="AY13" s="174">
        <v>0</v>
      </c>
      <c r="AZ13" s="159">
        <v>0</v>
      </c>
      <c r="BA13" s="4"/>
      <c r="BB13" s="159">
        <v>1052</v>
      </c>
      <c r="BC13" s="159">
        <v>1068</v>
      </c>
      <c r="BD13" s="159">
        <v>1380</v>
      </c>
      <c r="BE13" s="175">
        <f t="shared" si="26"/>
        <v>16</v>
      </c>
      <c r="BF13" s="176">
        <f t="shared" si="27"/>
        <v>8760.5577597402607</v>
      </c>
      <c r="BG13" s="177">
        <f t="shared" si="28"/>
        <v>57.5</v>
      </c>
      <c r="BH13" s="178">
        <v>2.0209999999999999</v>
      </c>
      <c r="BI13" s="156">
        <v>2.0209999999999999</v>
      </c>
      <c r="BJ13" s="177">
        <v>28.93</v>
      </c>
      <c r="BK13" s="175">
        <v>27.39</v>
      </c>
      <c r="BL13" s="175">
        <v>22.02</v>
      </c>
      <c r="BM13" s="175">
        <v>27.37</v>
      </c>
      <c r="BN13" s="179">
        <v>988.17</v>
      </c>
      <c r="BO13" s="186">
        <v>50.1</v>
      </c>
      <c r="BP13" s="180">
        <v>0.93679999999999997</v>
      </c>
      <c r="BQ13" s="177">
        <v>97.07</v>
      </c>
      <c r="BR13" s="177">
        <v>86.78</v>
      </c>
      <c r="BS13" s="175">
        <v>12241</v>
      </c>
      <c r="BT13" s="175">
        <v>11910</v>
      </c>
      <c r="BU13" s="51">
        <f t="shared" si="29"/>
        <v>-331</v>
      </c>
      <c r="BV13" s="175">
        <f t="shared" si="30"/>
        <v>4.0419999999999998</v>
      </c>
      <c r="BW13" s="177">
        <v>24</v>
      </c>
      <c r="BX13" s="177">
        <v>24</v>
      </c>
      <c r="BZ13" s="177">
        <v>24</v>
      </c>
      <c r="CA13" s="177">
        <v>7.3</v>
      </c>
      <c r="CC13" s="177">
        <v>2.2000000000000002</v>
      </c>
      <c r="CD13" s="177">
        <v>4.2</v>
      </c>
      <c r="CE13" s="177">
        <v>1.8</v>
      </c>
      <c r="CF13" s="177">
        <v>1.3</v>
      </c>
    </row>
    <row r="14" spans="1:84">
      <c r="A14" s="452"/>
      <c r="B14" s="24">
        <v>43194</v>
      </c>
      <c r="C14" s="157">
        <v>84.4</v>
      </c>
      <c r="D14" s="197">
        <v>0.54500000000000004</v>
      </c>
      <c r="E14" s="157">
        <v>67.599999999999994</v>
      </c>
      <c r="F14" s="159">
        <v>96</v>
      </c>
      <c r="G14" s="159">
        <v>75</v>
      </c>
      <c r="H14" s="160">
        <v>24</v>
      </c>
      <c r="I14" s="160">
        <v>0</v>
      </c>
      <c r="J14" s="160">
        <v>24</v>
      </c>
      <c r="K14" s="160">
        <v>0</v>
      </c>
      <c r="L14" s="161">
        <v>0</v>
      </c>
      <c r="M14" s="161">
        <v>0</v>
      </c>
      <c r="N14" s="161">
        <v>0</v>
      </c>
      <c r="O14" s="161">
        <v>0</v>
      </c>
      <c r="P14" s="161">
        <v>24</v>
      </c>
      <c r="Q14" s="159">
        <v>0</v>
      </c>
      <c r="R14" s="159">
        <v>3554</v>
      </c>
      <c r="S14" s="159">
        <v>3456</v>
      </c>
      <c r="T14" s="159">
        <v>3456</v>
      </c>
      <c r="U14" s="159">
        <v>3387</v>
      </c>
      <c r="V14" s="160">
        <v>3497</v>
      </c>
      <c r="W14" s="160">
        <v>44</v>
      </c>
      <c r="X14" s="160">
        <v>0</v>
      </c>
      <c r="Y14" s="160">
        <v>44</v>
      </c>
      <c r="Z14" s="161">
        <v>0</v>
      </c>
      <c r="AA14" s="161">
        <v>58</v>
      </c>
      <c r="AB14" s="161">
        <v>0</v>
      </c>
      <c r="AC14" s="165">
        <f t="shared" si="16"/>
        <v>110</v>
      </c>
      <c r="AD14" s="166">
        <f t="shared" si="17"/>
        <v>-69</v>
      </c>
      <c r="AE14" s="159">
        <v>148</v>
      </c>
      <c r="AF14" s="167">
        <f t="shared" si="18"/>
        <v>0.98451576576576572</v>
      </c>
      <c r="AG14" s="168">
        <f t="shared" si="19"/>
        <v>148.08333333333334</v>
      </c>
      <c r="AH14" s="167">
        <f t="shared" si="20"/>
        <v>0.95301069217782775</v>
      </c>
      <c r="AI14" s="169">
        <f>(1440-((W14*X14)+(Y14*Z14)+(AA14*AB14))/(W14+Y14+AA14))/1440</f>
        <v>1</v>
      </c>
      <c r="AJ14" s="170">
        <f t="shared" si="21"/>
        <v>1</v>
      </c>
      <c r="AK14" s="235">
        <v>9.375</v>
      </c>
      <c r="AL14" s="239">
        <v>134.97999999999999</v>
      </c>
      <c r="AM14" s="275">
        <f t="shared" si="22"/>
        <v>1265.4375</v>
      </c>
      <c r="AN14" s="235">
        <v>29.376999999999999</v>
      </c>
      <c r="AO14" s="330">
        <v>969.34</v>
      </c>
      <c r="AP14" s="172">
        <f t="shared" si="23"/>
        <v>28476.301179999999</v>
      </c>
      <c r="AQ14" s="202">
        <f t="shared" si="24"/>
        <v>8781.145166814289</v>
      </c>
      <c r="AR14" s="199">
        <f t="shared" si="25"/>
        <v>144</v>
      </c>
      <c r="AS14" s="13"/>
      <c r="AT14" s="182">
        <v>0</v>
      </c>
      <c r="AU14" s="159">
        <v>0</v>
      </c>
      <c r="AV14" s="174">
        <v>0</v>
      </c>
      <c r="AW14" s="174">
        <v>0</v>
      </c>
      <c r="AX14" s="159">
        <v>0</v>
      </c>
      <c r="AY14" s="174">
        <v>0</v>
      </c>
      <c r="AZ14" s="159">
        <v>0</v>
      </c>
      <c r="BA14" s="4"/>
      <c r="BB14" s="159">
        <v>1050</v>
      </c>
      <c r="BC14" s="159">
        <v>1066</v>
      </c>
      <c r="BD14" s="159">
        <v>1381</v>
      </c>
      <c r="BE14" s="175">
        <f t="shared" si="26"/>
        <v>16</v>
      </c>
      <c r="BF14" s="176">
        <f t="shared" si="27"/>
        <v>8781.145166814289</v>
      </c>
      <c r="BG14" s="177">
        <f t="shared" si="28"/>
        <v>57.541666666666664</v>
      </c>
      <c r="BH14" s="178">
        <v>2.0209999999999999</v>
      </c>
      <c r="BI14" s="156">
        <v>2.0209999999999999</v>
      </c>
      <c r="BJ14" s="177">
        <v>28.93</v>
      </c>
      <c r="BK14" s="175">
        <v>27.41</v>
      </c>
      <c r="BL14" s="175">
        <v>21.96</v>
      </c>
      <c r="BM14" s="175">
        <v>27.63</v>
      </c>
      <c r="BN14" s="179">
        <v>987.1</v>
      </c>
      <c r="BO14" s="179">
        <v>50.04</v>
      </c>
      <c r="BP14" s="180">
        <v>0.9375</v>
      </c>
      <c r="BQ14" s="177">
        <v>97.05</v>
      </c>
      <c r="BR14" s="177">
        <v>86.57</v>
      </c>
      <c r="BS14" s="175">
        <v>12254</v>
      </c>
      <c r="BT14" s="175">
        <v>11892</v>
      </c>
      <c r="BU14" s="51">
        <f t="shared" si="29"/>
        <v>-362</v>
      </c>
      <c r="BV14" s="175">
        <f t="shared" si="30"/>
        <v>4.0419999999999998</v>
      </c>
      <c r="BW14" s="177">
        <v>24</v>
      </c>
      <c r="BX14" s="177">
        <v>24</v>
      </c>
      <c r="BZ14" s="177">
        <v>24</v>
      </c>
      <c r="CA14" s="177">
        <v>8.3800000000000008</v>
      </c>
      <c r="CC14" s="177">
        <v>2.2000000000000002</v>
      </c>
      <c r="CD14" s="177">
        <v>4</v>
      </c>
      <c r="CE14" s="177">
        <v>1.6</v>
      </c>
      <c r="CF14" s="177">
        <v>1.8</v>
      </c>
    </row>
    <row r="15" spans="1:84">
      <c r="A15" s="452"/>
      <c r="B15" s="24">
        <v>43195</v>
      </c>
      <c r="C15" s="157">
        <v>86.7</v>
      </c>
      <c r="D15" s="197">
        <v>0.42199999999999999</v>
      </c>
      <c r="E15" s="157">
        <v>64.400000000000006</v>
      </c>
      <c r="F15" s="183">
        <v>99</v>
      </c>
      <c r="G15" s="183">
        <v>74</v>
      </c>
      <c r="H15" s="160">
        <v>24</v>
      </c>
      <c r="I15" s="160">
        <v>0</v>
      </c>
      <c r="J15" s="160">
        <v>24</v>
      </c>
      <c r="K15" s="160">
        <v>0</v>
      </c>
      <c r="L15" s="161">
        <v>0</v>
      </c>
      <c r="M15" s="161">
        <v>0</v>
      </c>
      <c r="N15" s="161">
        <v>0</v>
      </c>
      <c r="O15" s="161">
        <v>0</v>
      </c>
      <c r="P15" s="161">
        <v>24</v>
      </c>
      <c r="Q15" s="159">
        <v>0</v>
      </c>
      <c r="R15" s="159">
        <v>3532</v>
      </c>
      <c r="S15" s="159">
        <v>3483</v>
      </c>
      <c r="T15" s="159">
        <v>3483</v>
      </c>
      <c r="U15" s="159">
        <v>3417</v>
      </c>
      <c r="V15" s="160">
        <v>3527</v>
      </c>
      <c r="W15" s="160">
        <v>44</v>
      </c>
      <c r="X15" s="160">
        <v>0</v>
      </c>
      <c r="Y15" s="160">
        <v>45</v>
      </c>
      <c r="Z15" s="161">
        <v>0</v>
      </c>
      <c r="AA15" s="161">
        <v>58</v>
      </c>
      <c r="AB15" s="161">
        <v>0</v>
      </c>
      <c r="AC15" s="165">
        <f t="shared" si="16"/>
        <v>110</v>
      </c>
      <c r="AD15" s="166">
        <f t="shared" si="17"/>
        <v>-66</v>
      </c>
      <c r="AE15" s="159">
        <v>150</v>
      </c>
      <c r="AF15" s="167">
        <f t="shared" si="18"/>
        <v>0.97972222222222227</v>
      </c>
      <c r="AG15" s="168">
        <f t="shared" si="19"/>
        <v>147.16666666666666</v>
      </c>
      <c r="AH15" s="167">
        <f t="shared" si="20"/>
        <v>0.967440543601359</v>
      </c>
      <c r="AI15" s="169">
        <f>(1440-((W15*X15)+(Y15*Z15)+(AA15*AB15))/(W15+Y15+AA15))/1440</f>
        <v>1</v>
      </c>
      <c r="AJ15" s="170">
        <f t="shared" si="21"/>
        <v>1</v>
      </c>
      <c r="AK15" s="235">
        <v>9.44</v>
      </c>
      <c r="AL15" s="239">
        <v>137.13</v>
      </c>
      <c r="AM15" s="275">
        <f t="shared" si="22"/>
        <v>1294.5071999999998</v>
      </c>
      <c r="AN15" s="235">
        <v>29.359000000000002</v>
      </c>
      <c r="AO15" s="330">
        <v>973.25</v>
      </c>
      <c r="AP15" s="172">
        <f t="shared" si="23"/>
        <v>28573.646750000004</v>
      </c>
      <c r="AQ15" s="202">
        <f t="shared" si="24"/>
        <v>8741.0459321041872</v>
      </c>
      <c r="AR15" s="199">
        <f t="shared" si="25"/>
        <v>145.125</v>
      </c>
      <c r="AS15" s="13"/>
      <c r="AT15" s="159">
        <v>0</v>
      </c>
      <c r="AU15" s="174">
        <v>0</v>
      </c>
      <c r="AV15" s="174">
        <v>0</v>
      </c>
      <c r="AW15" s="159">
        <v>0</v>
      </c>
      <c r="AX15" s="174">
        <v>0</v>
      </c>
      <c r="AY15" s="159">
        <v>0</v>
      </c>
      <c r="AZ15" s="159">
        <v>0</v>
      </c>
      <c r="BA15" s="4"/>
      <c r="BB15" s="175">
        <v>1060</v>
      </c>
      <c r="BC15" s="175">
        <v>1079</v>
      </c>
      <c r="BD15" s="184">
        <v>1388</v>
      </c>
      <c r="BE15" s="175">
        <f t="shared" si="26"/>
        <v>19</v>
      </c>
      <c r="BF15" s="177">
        <f t="shared" si="27"/>
        <v>8741.0459321041872</v>
      </c>
      <c r="BG15" s="177">
        <f t="shared" si="28"/>
        <v>57.833333333333336</v>
      </c>
      <c r="BH15" s="178">
        <v>2</v>
      </c>
      <c r="BI15" s="156">
        <v>2</v>
      </c>
      <c r="BJ15" s="177">
        <v>28.85</v>
      </c>
      <c r="BK15" s="175">
        <v>27.4</v>
      </c>
      <c r="BL15" s="175">
        <v>22</v>
      </c>
      <c r="BM15" s="175">
        <v>27.63</v>
      </c>
      <c r="BN15" s="179">
        <v>984.8</v>
      </c>
      <c r="BO15" s="179">
        <v>50.05</v>
      </c>
      <c r="BP15" s="185">
        <v>0.93720000000000003</v>
      </c>
      <c r="BQ15" s="177">
        <v>96.52</v>
      </c>
      <c r="BR15" s="177">
        <v>86.33</v>
      </c>
      <c r="BS15" s="175">
        <v>12152</v>
      </c>
      <c r="BT15" s="175">
        <v>11786</v>
      </c>
      <c r="BU15" s="51">
        <f t="shared" si="29"/>
        <v>-366</v>
      </c>
      <c r="BV15" s="175">
        <f t="shared" si="30"/>
        <v>4</v>
      </c>
      <c r="BW15" s="177">
        <v>24</v>
      </c>
      <c r="BX15" s="177">
        <v>24</v>
      </c>
      <c r="BZ15" s="177">
        <v>24</v>
      </c>
      <c r="CA15" s="177">
        <v>6.37</v>
      </c>
      <c r="CC15" s="177">
        <v>2.2000000000000002</v>
      </c>
      <c r="CD15" s="177">
        <v>4.2</v>
      </c>
      <c r="CE15" s="177">
        <v>1.8</v>
      </c>
      <c r="CF15" s="177">
        <v>1.5</v>
      </c>
    </row>
    <row r="16" spans="1:84">
      <c r="A16" s="452"/>
      <c r="B16" s="24">
        <v>43196</v>
      </c>
      <c r="C16" s="157">
        <v>86.8</v>
      </c>
      <c r="D16" s="197">
        <v>0.42899999999999999</v>
      </c>
      <c r="E16" s="157">
        <v>64.099999999999994</v>
      </c>
      <c r="F16" s="159">
        <v>100</v>
      </c>
      <c r="G16" s="159">
        <v>73</v>
      </c>
      <c r="H16" s="159">
        <v>24</v>
      </c>
      <c r="I16" s="159">
        <v>0</v>
      </c>
      <c r="J16" s="159">
        <v>24</v>
      </c>
      <c r="K16" s="159">
        <v>0</v>
      </c>
      <c r="L16" s="161">
        <v>0</v>
      </c>
      <c r="M16" s="161">
        <v>0</v>
      </c>
      <c r="N16" s="161">
        <v>0</v>
      </c>
      <c r="O16" s="161">
        <v>0</v>
      </c>
      <c r="P16" s="161">
        <v>24</v>
      </c>
      <c r="Q16" s="159">
        <v>0</v>
      </c>
      <c r="R16" s="159">
        <v>3530</v>
      </c>
      <c r="S16" s="159">
        <v>3471</v>
      </c>
      <c r="T16" s="159">
        <v>3471</v>
      </c>
      <c r="U16" s="159">
        <v>3406</v>
      </c>
      <c r="V16" s="159">
        <v>3517</v>
      </c>
      <c r="W16" s="159">
        <v>44</v>
      </c>
      <c r="X16" s="159">
        <v>0</v>
      </c>
      <c r="Y16" s="159">
        <v>45</v>
      </c>
      <c r="Z16" s="161">
        <v>0</v>
      </c>
      <c r="AA16" s="161">
        <v>57</v>
      </c>
      <c r="AB16" s="161">
        <v>0</v>
      </c>
      <c r="AC16" s="165">
        <f t="shared" si="16"/>
        <v>111</v>
      </c>
      <c r="AD16" s="166">
        <f t="shared" si="17"/>
        <v>-65</v>
      </c>
      <c r="AE16" s="159">
        <v>150</v>
      </c>
      <c r="AF16" s="167">
        <f t="shared" si="18"/>
        <v>0.97694444444444439</v>
      </c>
      <c r="AG16" s="168">
        <f t="shared" si="19"/>
        <v>147.08333333333334</v>
      </c>
      <c r="AH16" s="167">
        <f t="shared" si="20"/>
        <v>0.96487252124645895</v>
      </c>
      <c r="AI16" s="169">
        <f>IF(U16&gt;0,(1440-((W16*X16)+(Y16*Z16)+(AA16*AB16))/(W16+Y16+AA16))/1440,"no data")</f>
        <v>1</v>
      </c>
      <c r="AJ16" s="170">
        <f t="shared" si="21"/>
        <v>1</v>
      </c>
      <c r="AK16" s="235">
        <v>9.4749999999999996</v>
      </c>
      <c r="AL16" s="239">
        <v>135.85</v>
      </c>
      <c r="AM16" s="275">
        <f t="shared" si="22"/>
        <v>1287.1787499999998</v>
      </c>
      <c r="AN16" s="235">
        <v>29.140999999999998</v>
      </c>
      <c r="AO16" s="330">
        <v>976.3</v>
      </c>
      <c r="AP16" s="172">
        <f t="shared" si="23"/>
        <v>28450.358299999996</v>
      </c>
      <c r="AQ16" s="202">
        <f t="shared" si="24"/>
        <v>8730.9269083969448</v>
      </c>
      <c r="AR16" s="199">
        <f t="shared" si="25"/>
        <v>144.625</v>
      </c>
      <c r="AS16" s="13"/>
      <c r="AT16" s="159">
        <v>0</v>
      </c>
      <c r="AU16" s="159">
        <v>0</v>
      </c>
      <c r="AV16" s="159">
        <v>0</v>
      </c>
      <c r="AW16" s="159">
        <v>0</v>
      </c>
      <c r="AX16" s="159">
        <v>0</v>
      </c>
      <c r="AY16" s="159">
        <v>0</v>
      </c>
      <c r="AZ16" s="159">
        <v>0</v>
      </c>
      <c r="BA16" s="4"/>
      <c r="BB16" s="175">
        <v>1058</v>
      </c>
      <c r="BC16" s="175">
        <v>1081</v>
      </c>
      <c r="BD16" s="175">
        <v>1378</v>
      </c>
      <c r="BE16" s="175">
        <f t="shared" si="26"/>
        <v>23</v>
      </c>
      <c r="BF16" s="177">
        <f t="shared" si="27"/>
        <v>8730.9269083969448</v>
      </c>
      <c r="BG16" s="177">
        <f t="shared" si="28"/>
        <v>57.416666666666664</v>
      </c>
      <c r="BH16" s="178">
        <v>1.905</v>
      </c>
      <c r="BI16" s="156">
        <v>1.905</v>
      </c>
      <c r="BJ16" s="177">
        <v>28.8</v>
      </c>
      <c r="BK16" s="175">
        <v>27.2</v>
      </c>
      <c r="BL16" s="175">
        <v>21.97</v>
      </c>
      <c r="BM16" s="175">
        <v>27.79</v>
      </c>
      <c r="BN16" s="179">
        <v>985.63</v>
      </c>
      <c r="BO16" s="179">
        <v>50.01</v>
      </c>
      <c r="BP16" s="185">
        <v>0.93759999999999999</v>
      </c>
      <c r="BQ16" s="177">
        <v>96.33</v>
      </c>
      <c r="BR16" s="177">
        <v>86.45</v>
      </c>
      <c r="BS16" s="175">
        <v>12072</v>
      </c>
      <c r="BT16" s="175">
        <v>11745</v>
      </c>
      <c r="BU16" s="51">
        <f t="shared" si="29"/>
        <v>-327</v>
      </c>
      <c r="BV16" s="175">
        <f t="shared" si="30"/>
        <v>3.81</v>
      </c>
      <c r="BW16" s="177">
        <v>24</v>
      </c>
      <c r="BX16" s="177">
        <v>24</v>
      </c>
      <c r="BZ16" s="177">
        <v>24</v>
      </c>
      <c r="CA16" s="177">
        <v>8.17</v>
      </c>
      <c r="CC16" s="177">
        <v>2.1</v>
      </c>
      <c r="CD16" s="177">
        <v>4.2</v>
      </c>
      <c r="CE16" s="177">
        <v>1.7</v>
      </c>
      <c r="CF16" s="177">
        <v>1.5</v>
      </c>
    </row>
    <row r="17" spans="1:84">
      <c r="A17" s="452"/>
      <c r="B17" s="24">
        <v>43197</v>
      </c>
      <c r="C17" s="157">
        <v>87.8</v>
      </c>
      <c r="D17" s="197">
        <v>0.47899999999999998</v>
      </c>
      <c r="E17" s="157">
        <v>66.400000000000006</v>
      </c>
      <c r="F17" s="159">
        <v>103</v>
      </c>
      <c r="G17" s="159">
        <v>74</v>
      </c>
      <c r="H17" s="159">
        <v>24</v>
      </c>
      <c r="I17" s="159">
        <v>0</v>
      </c>
      <c r="J17" s="159">
        <v>24</v>
      </c>
      <c r="K17" s="159">
        <v>0</v>
      </c>
      <c r="L17" s="161">
        <v>0</v>
      </c>
      <c r="M17" s="161">
        <v>0</v>
      </c>
      <c r="N17" s="161">
        <v>0</v>
      </c>
      <c r="O17" s="161">
        <v>0</v>
      </c>
      <c r="P17" s="161">
        <v>24</v>
      </c>
      <c r="Q17" s="159">
        <v>0</v>
      </c>
      <c r="R17" s="159">
        <v>3521</v>
      </c>
      <c r="S17" s="159">
        <v>3435</v>
      </c>
      <c r="T17" s="159">
        <v>3435</v>
      </c>
      <c r="U17" s="159">
        <v>3360</v>
      </c>
      <c r="V17" s="159">
        <v>3470</v>
      </c>
      <c r="W17" s="159">
        <v>43</v>
      </c>
      <c r="X17" s="159">
        <v>0</v>
      </c>
      <c r="Y17" s="159">
        <v>44</v>
      </c>
      <c r="Z17" s="161">
        <v>0</v>
      </c>
      <c r="AA17" s="161">
        <v>56</v>
      </c>
      <c r="AB17" s="161">
        <v>0</v>
      </c>
      <c r="AC17" s="165">
        <f t="shared" si="16"/>
        <v>110</v>
      </c>
      <c r="AD17" s="166">
        <f t="shared" si="17"/>
        <v>-75</v>
      </c>
      <c r="AE17" s="159">
        <v>148</v>
      </c>
      <c r="AF17" s="167">
        <f t="shared" si="18"/>
        <v>0.9769144144144144</v>
      </c>
      <c r="AG17" s="168">
        <f t="shared" si="19"/>
        <v>146.70833333333334</v>
      </c>
      <c r="AH17" s="167">
        <f t="shared" si="20"/>
        <v>0.95427435387673953</v>
      </c>
      <c r="AI17" s="169">
        <f t="shared" ref="AI17:AI45" si="31">IF(U17&gt;0,(1440-((W17*X17)+(Y17*Z17)+(AA17*AB17))/(W17+Y17+AA17))/1440,"no data")</f>
        <v>1</v>
      </c>
      <c r="AJ17" s="170">
        <f t="shared" si="21"/>
        <v>1</v>
      </c>
      <c r="AK17" s="235">
        <v>9.4700000000000006</v>
      </c>
      <c r="AL17" s="239">
        <v>135.41</v>
      </c>
      <c r="AM17" s="275">
        <f t="shared" si="22"/>
        <v>1282.3327000000002</v>
      </c>
      <c r="AN17" s="235">
        <v>28.782</v>
      </c>
      <c r="AO17" s="330">
        <v>977.3</v>
      </c>
      <c r="AP17" s="172">
        <f t="shared" si="23"/>
        <v>28128.6486</v>
      </c>
      <c r="AQ17" s="202">
        <f t="shared" si="24"/>
        <v>8753.2682440476183</v>
      </c>
      <c r="AR17" s="199">
        <f t="shared" si="25"/>
        <v>143.125</v>
      </c>
      <c r="AS17" s="13"/>
      <c r="AT17" s="159">
        <v>0</v>
      </c>
      <c r="AU17" s="159">
        <v>0</v>
      </c>
      <c r="AV17" s="159">
        <v>0</v>
      </c>
      <c r="AW17" s="159">
        <v>0</v>
      </c>
      <c r="AX17" s="159">
        <v>0</v>
      </c>
      <c r="AY17" s="159">
        <v>0</v>
      </c>
      <c r="AZ17" s="159">
        <v>0</v>
      </c>
      <c r="BA17" s="4"/>
      <c r="BB17" s="175">
        <v>1050</v>
      </c>
      <c r="BC17" s="175">
        <v>1069</v>
      </c>
      <c r="BD17" s="175">
        <v>1351</v>
      </c>
      <c r="BE17" s="175">
        <f t="shared" si="26"/>
        <v>19</v>
      </c>
      <c r="BF17" s="177">
        <f t="shared" si="27"/>
        <v>8753.2682440476183</v>
      </c>
      <c r="BG17" s="177">
        <f t="shared" si="28"/>
        <v>56.291666666666664</v>
      </c>
      <c r="BH17" s="178">
        <v>1.8149999999999999</v>
      </c>
      <c r="BI17" s="156">
        <v>1.8149999999999999</v>
      </c>
      <c r="BJ17" s="177">
        <v>28.7</v>
      </c>
      <c r="BK17" s="175">
        <v>26.99</v>
      </c>
      <c r="BL17" s="175">
        <v>21.78</v>
      </c>
      <c r="BM17" s="175">
        <v>27.61</v>
      </c>
      <c r="BN17" s="179">
        <v>986.63</v>
      </c>
      <c r="BO17" s="179">
        <v>49.96</v>
      </c>
      <c r="BP17" s="185">
        <v>0.93759999999999999</v>
      </c>
      <c r="BQ17" s="177">
        <v>96.5</v>
      </c>
      <c r="BR17" s="186">
        <v>86.6</v>
      </c>
      <c r="BS17" s="175">
        <v>12094</v>
      </c>
      <c r="BT17" s="175">
        <v>11791</v>
      </c>
      <c r="BU17" s="51">
        <f t="shared" si="29"/>
        <v>-303</v>
      </c>
      <c r="BV17" s="175">
        <f t="shared" si="30"/>
        <v>3.63</v>
      </c>
      <c r="BW17" s="177">
        <v>24</v>
      </c>
      <c r="BX17" s="177">
        <v>24</v>
      </c>
      <c r="BZ17" s="177">
        <v>24</v>
      </c>
      <c r="CA17" s="177">
        <v>9.1999999999999993</v>
      </c>
      <c r="CC17" s="177">
        <v>2.1</v>
      </c>
      <c r="CD17" s="177">
        <v>3.9</v>
      </c>
      <c r="CE17" s="177">
        <v>1.8</v>
      </c>
      <c r="CF17" s="177">
        <v>1.6</v>
      </c>
    </row>
    <row r="18" spans="1:84">
      <c r="A18" s="453"/>
      <c r="B18" s="24">
        <v>43198</v>
      </c>
      <c r="C18" s="157">
        <v>90.5</v>
      </c>
      <c r="D18" s="197">
        <v>0.42199999999999999</v>
      </c>
      <c r="E18" s="157">
        <v>66.2</v>
      </c>
      <c r="F18" s="159">
        <v>105</v>
      </c>
      <c r="G18" s="159">
        <v>76</v>
      </c>
      <c r="H18" s="159">
        <v>24</v>
      </c>
      <c r="I18" s="159">
        <v>0</v>
      </c>
      <c r="J18" s="159">
        <v>24</v>
      </c>
      <c r="K18" s="159">
        <v>0</v>
      </c>
      <c r="L18" s="159">
        <v>0</v>
      </c>
      <c r="M18" s="159">
        <v>0</v>
      </c>
      <c r="N18" s="187">
        <v>0</v>
      </c>
      <c r="O18" s="187">
        <v>0</v>
      </c>
      <c r="P18" s="187">
        <v>0</v>
      </c>
      <c r="Q18" s="159">
        <v>0</v>
      </c>
      <c r="R18" s="159">
        <v>3494</v>
      </c>
      <c r="S18" s="159">
        <v>3118</v>
      </c>
      <c r="T18" s="159">
        <v>3118</v>
      </c>
      <c r="U18" s="159">
        <v>3047</v>
      </c>
      <c r="V18" s="159">
        <v>3143</v>
      </c>
      <c r="W18" s="159">
        <v>43</v>
      </c>
      <c r="X18" s="159">
        <v>0</v>
      </c>
      <c r="Y18" s="159">
        <v>44</v>
      </c>
      <c r="Z18" s="159">
        <v>0</v>
      </c>
      <c r="AA18" s="159">
        <v>56</v>
      </c>
      <c r="AB18" s="187">
        <v>0</v>
      </c>
      <c r="AC18" s="165">
        <f t="shared" si="16"/>
        <v>96</v>
      </c>
      <c r="AD18" s="166">
        <f t="shared" si="17"/>
        <v>-71</v>
      </c>
      <c r="AE18" s="159">
        <v>134</v>
      </c>
      <c r="AF18" s="167">
        <f t="shared" si="18"/>
        <v>0.97730099502487566</v>
      </c>
      <c r="AG18" s="168">
        <f t="shared" si="19"/>
        <v>145.58333333333334</v>
      </c>
      <c r="AH18" s="167">
        <f t="shared" si="20"/>
        <v>0.8720663995420721</v>
      </c>
      <c r="AI18" s="169">
        <f t="shared" si="31"/>
        <v>1</v>
      </c>
      <c r="AJ18" s="170">
        <f t="shared" si="21"/>
        <v>0.90209790209790208</v>
      </c>
      <c r="AK18" s="236">
        <v>9.52</v>
      </c>
      <c r="AL18" s="240">
        <v>137.44999999999999</v>
      </c>
      <c r="AM18" s="275">
        <f t="shared" si="22"/>
        <v>1308.5239999999999</v>
      </c>
      <c r="AN18" s="236">
        <v>24.937999999999999</v>
      </c>
      <c r="AO18" s="330">
        <v>980.7</v>
      </c>
      <c r="AP18" s="172">
        <f t="shared" si="23"/>
        <v>24456.696599999999</v>
      </c>
      <c r="AQ18" s="202">
        <f t="shared" si="24"/>
        <v>8455.9306202822445</v>
      </c>
      <c r="AR18" s="199">
        <f t="shared" si="25"/>
        <v>129.91666666666666</v>
      </c>
      <c r="AS18" s="13"/>
      <c r="AT18" s="159">
        <v>0</v>
      </c>
      <c r="AU18" s="159">
        <v>0</v>
      </c>
      <c r="AV18" s="159">
        <v>0</v>
      </c>
      <c r="AW18" s="159">
        <v>0</v>
      </c>
      <c r="AX18" s="174">
        <v>14</v>
      </c>
      <c r="AY18" s="159">
        <v>1440</v>
      </c>
      <c r="AZ18" s="159">
        <v>0</v>
      </c>
      <c r="BA18" s="4"/>
      <c r="BB18" s="175">
        <v>1048</v>
      </c>
      <c r="BC18" s="175">
        <v>1075</v>
      </c>
      <c r="BD18" s="175">
        <v>1020</v>
      </c>
      <c r="BE18" s="175">
        <f t="shared" si="26"/>
        <v>27</v>
      </c>
      <c r="BF18" s="177">
        <f t="shared" si="27"/>
        <v>8455.9306202822445</v>
      </c>
      <c r="BG18" s="177">
        <f t="shared" si="28"/>
        <v>42.5</v>
      </c>
      <c r="BH18" s="178">
        <v>0</v>
      </c>
      <c r="BI18" s="156">
        <v>0</v>
      </c>
      <c r="BJ18" s="177">
        <v>28.6</v>
      </c>
      <c r="BK18" s="175">
        <v>26.9</v>
      </c>
      <c r="BL18" s="175">
        <v>21.65</v>
      </c>
      <c r="BM18" s="175">
        <v>27.87</v>
      </c>
      <c r="BN18" s="179">
        <v>985.04</v>
      </c>
      <c r="BO18" s="179">
        <v>50.09</v>
      </c>
      <c r="BP18" s="180">
        <v>0.93689999999999996</v>
      </c>
      <c r="BQ18" s="186">
        <v>96.14</v>
      </c>
      <c r="BR18" s="186">
        <v>86.55</v>
      </c>
      <c r="BS18" s="175">
        <v>12050</v>
      </c>
      <c r="BT18" s="175">
        <v>11715</v>
      </c>
      <c r="BU18" s="51">
        <f t="shared" si="29"/>
        <v>-335</v>
      </c>
      <c r="BV18" s="175">
        <f t="shared" si="30"/>
        <v>0</v>
      </c>
      <c r="BW18" s="177">
        <v>0</v>
      </c>
      <c r="BX18" s="177">
        <v>0</v>
      </c>
      <c r="BZ18" s="177">
        <v>24</v>
      </c>
      <c r="CA18" s="177">
        <v>7.57</v>
      </c>
      <c r="CC18" s="177">
        <v>2.1</v>
      </c>
      <c r="CD18" s="177">
        <v>3.2</v>
      </c>
      <c r="CE18" s="177">
        <v>1.7</v>
      </c>
      <c r="CF18" s="177">
        <v>1.8</v>
      </c>
    </row>
    <row r="19" spans="1:84">
      <c r="A19" s="451" t="s">
        <v>178</v>
      </c>
      <c r="B19" s="24">
        <v>43199</v>
      </c>
      <c r="C19" s="25">
        <v>83.26</v>
      </c>
      <c r="D19" s="26">
        <v>0.5242</v>
      </c>
      <c r="E19" s="25">
        <v>65.790000000000006</v>
      </c>
      <c r="F19" s="27">
        <v>93</v>
      </c>
      <c r="G19" s="27">
        <v>73</v>
      </c>
      <c r="H19" s="27">
        <v>24</v>
      </c>
      <c r="I19" s="27">
        <v>0</v>
      </c>
      <c r="J19" s="27">
        <v>24</v>
      </c>
      <c r="K19" s="27">
        <v>0</v>
      </c>
      <c r="L19" s="27">
        <v>0</v>
      </c>
      <c r="M19" s="27">
        <v>0</v>
      </c>
      <c r="N19" s="29">
        <v>0</v>
      </c>
      <c r="O19" s="29">
        <v>0</v>
      </c>
      <c r="P19" s="29">
        <v>13</v>
      </c>
      <c r="Q19" s="27">
        <v>0</v>
      </c>
      <c r="R19" s="251">
        <v>3563</v>
      </c>
      <c r="S19" s="253">
        <v>3306</v>
      </c>
      <c r="T19" s="27">
        <v>3306</v>
      </c>
      <c r="U19" s="27">
        <v>3240</v>
      </c>
      <c r="V19" s="27">
        <v>3341</v>
      </c>
      <c r="W19" s="27">
        <v>44</v>
      </c>
      <c r="X19" s="27">
        <v>0</v>
      </c>
      <c r="Y19" s="27">
        <v>45</v>
      </c>
      <c r="Z19" s="27">
        <v>0</v>
      </c>
      <c r="AA19" s="27">
        <v>56</v>
      </c>
      <c r="AB19" s="29">
        <v>0</v>
      </c>
      <c r="AC19" s="32">
        <f t="shared" si="16"/>
        <v>101</v>
      </c>
      <c r="AD19" s="33">
        <f t="shared" si="17"/>
        <v>-66</v>
      </c>
      <c r="AE19" s="27">
        <v>147</v>
      </c>
      <c r="AF19" s="34">
        <f t="shared" si="18"/>
        <v>0.94699546485260766</v>
      </c>
      <c r="AG19" s="35">
        <f t="shared" si="19"/>
        <v>148.45833333333334</v>
      </c>
      <c r="AH19" s="34">
        <f t="shared" si="20"/>
        <v>0.90934605669379731</v>
      </c>
      <c r="AI19" s="226">
        <f t="shared" si="31"/>
        <v>1</v>
      </c>
      <c r="AJ19" s="37">
        <f t="shared" si="21"/>
        <v>0.95890804597701151</v>
      </c>
      <c r="AK19" s="236">
        <v>9.5150000000000006</v>
      </c>
      <c r="AL19" s="240">
        <v>136.26</v>
      </c>
      <c r="AM19" s="38">
        <f t="shared" si="22"/>
        <v>1296.5138999999999</v>
      </c>
      <c r="AN19" s="236">
        <v>27.284140999999998</v>
      </c>
      <c r="AO19" s="330">
        <v>979.75083767526348</v>
      </c>
      <c r="AP19" s="39">
        <f t="shared" si="23"/>
        <v>26731.66</v>
      </c>
      <c r="AQ19" s="201">
        <f t="shared" si="24"/>
        <v>8650.6709567901235</v>
      </c>
      <c r="AR19" s="198">
        <f t="shared" si="25"/>
        <v>137.75</v>
      </c>
      <c r="AS19" s="13"/>
      <c r="AT19" s="27">
        <v>0</v>
      </c>
      <c r="AU19" s="40">
        <v>0</v>
      </c>
      <c r="AV19" s="40">
        <v>0</v>
      </c>
      <c r="AW19" s="27">
        <v>0</v>
      </c>
      <c r="AX19" s="40">
        <v>13</v>
      </c>
      <c r="AY19" s="27">
        <v>660</v>
      </c>
      <c r="AZ19" s="27">
        <v>0</v>
      </c>
      <c r="BA19" s="4"/>
      <c r="BB19" s="52">
        <v>1058</v>
      </c>
      <c r="BC19" s="52">
        <v>1076</v>
      </c>
      <c r="BD19" s="52">
        <v>1207</v>
      </c>
      <c r="BE19" s="41">
        <f t="shared" si="26"/>
        <v>18</v>
      </c>
      <c r="BF19" s="41">
        <f t="shared" si="27"/>
        <v>8650.6709567901235</v>
      </c>
      <c r="BG19" s="60">
        <f t="shared" si="28"/>
        <v>50.291666666666664</v>
      </c>
      <c r="BH19" s="61">
        <v>1.0209999999999999</v>
      </c>
      <c r="BI19" s="62">
        <v>1.0169999999999999</v>
      </c>
      <c r="BJ19" s="42">
        <v>29</v>
      </c>
      <c r="BK19" s="41">
        <v>27.2</v>
      </c>
      <c r="BL19" s="41">
        <v>21.93</v>
      </c>
      <c r="BM19" s="41">
        <v>27.78</v>
      </c>
      <c r="BN19" s="63">
        <v>989.7</v>
      </c>
      <c r="BO19" s="63">
        <v>50.05</v>
      </c>
      <c r="BP19" s="64">
        <v>0.93710000000000004</v>
      </c>
      <c r="BQ19" s="42">
        <v>96.87</v>
      </c>
      <c r="BR19" s="42">
        <v>86.66</v>
      </c>
      <c r="BS19" s="41">
        <v>12084</v>
      </c>
      <c r="BT19" s="41">
        <v>11783</v>
      </c>
      <c r="BU19" s="51">
        <f t="shared" si="29"/>
        <v>-301</v>
      </c>
      <c r="BV19" s="41">
        <f t="shared" si="30"/>
        <v>2.0379999999999998</v>
      </c>
      <c r="BW19" s="42">
        <v>13</v>
      </c>
      <c r="BX19" s="42">
        <v>13</v>
      </c>
      <c r="BZ19" s="42">
        <v>24</v>
      </c>
      <c r="CA19" s="42">
        <v>7.63</v>
      </c>
      <c r="CC19" s="42">
        <v>2.2000000000000002</v>
      </c>
      <c r="CD19" s="42">
        <v>4.38</v>
      </c>
      <c r="CE19" s="42">
        <v>1.8</v>
      </c>
      <c r="CF19" s="42">
        <v>1.73</v>
      </c>
    </row>
    <row r="20" spans="1:84">
      <c r="A20" s="452"/>
      <c r="B20" s="24">
        <v>43200</v>
      </c>
      <c r="C20" s="25">
        <v>85.5</v>
      </c>
      <c r="D20" s="26">
        <v>0.52400000000000002</v>
      </c>
      <c r="E20" s="25">
        <v>67.099999999999994</v>
      </c>
      <c r="F20" s="27">
        <v>95</v>
      </c>
      <c r="G20" s="27">
        <v>74</v>
      </c>
      <c r="H20" s="27">
        <v>24</v>
      </c>
      <c r="I20" s="27">
        <v>0</v>
      </c>
      <c r="J20" s="27">
        <v>24</v>
      </c>
      <c r="K20" s="27">
        <v>0</v>
      </c>
      <c r="L20" s="29">
        <v>0</v>
      </c>
      <c r="M20" s="29">
        <v>0</v>
      </c>
      <c r="N20" s="29">
        <v>0</v>
      </c>
      <c r="O20" s="29">
        <v>0</v>
      </c>
      <c r="P20" s="29">
        <v>24</v>
      </c>
      <c r="Q20" s="27">
        <v>0</v>
      </c>
      <c r="R20" s="252">
        <v>3548</v>
      </c>
      <c r="S20" s="253">
        <v>3495</v>
      </c>
      <c r="T20" s="27">
        <v>3495</v>
      </c>
      <c r="U20" s="27">
        <v>3419</v>
      </c>
      <c r="V20" s="27">
        <v>3529</v>
      </c>
      <c r="W20" s="27">
        <v>44</v>
      </c>
      <c r="X20" s="27">
        <v>0</v>
      </c>
      <c r="Y20" s="27">
        <v>45</v>
      </c>
      <c r="Z20" s="29">
        <v>0</v>
      </c>
      <c r="AA20" s="29">
        <v>58</v>
      </c>
      <c r="AB20" s="29">
        <v>0</v>
      </c>
      <c r="AC20" s="32">
        <f t="shared" si="16"/>
        <v>110</v>
      </c>
      <c r="AD20" s="33">
        <f t="shared" si="17"/>
        <v>-76</v>
      </c>
      <c r="AE20" s="27">
        <v>150</v>
      </c>
      <c r="AF20" s="34">
        <f t="shared" si="18"/>
        <v>0.9802777777777778</v>
      </c>
      <c r="AG20" s="35">
        <f t="shared" si="19"/>
        <v>147.83333333333334</v>
      </c>
      <c r="AH20" s="34">
        <f t="shared" si="20"/>
        <v>0.96364148816234496</v>
      </c>
      <c r="AI20" s="226">
        <f t="shared" si="31"/>
        <v>1</v>
      </c>
      <c r="AJ20" s="37">
        <f t="shared" si="21"/>
        <v>1</v>
      </c>
      <c r="AK20" s="236">
        <v>9.5</v>
      </c>
      <c r="AL20" s="240">
        <v>136.25</v>
      </c>
      <c r="AM20" s="38">
        <f t="shared" si="22"/>
        <v>1294.375</v>
      </c>
      <c r="AN20" s="236">
        <v>29.395949000000002</v>
      </c>
      <c r="AO20" s="330">
        <v>978.42291126576652</v>
      </c>
      <c r="AP20" s="39">
        <f t="shared" si="23"/>
        <v>28761.67</v>
      </c>
      <c r="AQ20" s="201">
        <f t="shared" si="24"/>
        <v>8790.8876864580288</v>
      </c>
      <c r="AR20" s="198">
        <f t="shared" si="25"/>
        <v>145.625</v>
      </c>
      <c r="AS20" s="13"/>
      <c r="AT20" s="27">
        <v>0</v>
      </c>
      <c r="AU20" s="40">
        <v>0</v>
      </c>
      <c r="AV20" s="40">
        <v>0</v>
      </c>
      <c r="AW20" s="40">
        <v>0</v>
      </c>
      <c r="AX20" s="40">
        <v>0</v>
      </c>
      <c r="AY20" s="40">
        <v>0</v>
      </c>
      <c r="AZ20" s="27">
        <v>0</v>
      </c>
      <c r="BA20" s="4"/>
      <c r="BB20" s="52">
        <v>1053</v>
      </c>
      <c r="BC20" s="52">
        <v>1075</v>
      </c>
      <c r="BD20" s="52">
        <v>1401</v>
      </c>
      <c r="BE20" s="41">
        <f t="shared" si="26"/>
        <v>22</v>
      </c>
      <c r="BF20" s="41">
        <f t="shared" si="27"/>
        <v>8790.8876864580288</v>
      </c>
      <c r="BG20" s="60">
        <f t="shared" si="28"/>
        <v>58.375</v>
      </c>
      <c r="BH20" s="43">
        <v>2.08</v>
      </c>
      <c r="BI20" s="44">
        <v>2.08</v>
      </c>
      <c r="BJ20" s="45">
        <v>28.86</v>
      </c>
      <c r="BK20" s="47">
        <v>27.04</v>
      </c>
      <c r="BL20" s="47">
        <v>21.81</v>
      </c>
      <c r="BM20" s="47">
        <v>27.82</v>
      </c>
      <c r="BN20" s="47">
        <v>987.1</v>
      </c>
      <c r="BO20" s="45">
        <v>50.11</v>
      </c>
      <c r="BP20" s="48">
        <v>0.93710000000000004</v>
      </c>
      <c r="BQ20" s="42">
        <v>96.76</v>
      </c>
      <c r="BR20" s="42">
        <v>86.64</v>
      </c>
      <c r="BS20" s="41">
        <v>12070</v>
      </c>
      <c r="BT20" s="41">
        <v>11737</v>
      </c>
      <c r="BU20" s="51">
        <f t="shared" si="29"/>
        <v>-333</v>
      </c>
      <c r="BV20" s="41">
        <f t="shared" si="30"/>
        <v>4.16</v>
      </c>
      <c r="BW20" s="42">
        <v>24</v>
      </c>
      <c r="BX20" s="42">
        <v>24</v>
      </c>
      <c r="BZ20" s="42">
        <v>24</v>
      </c>
      <c r="CA20" s="42">
        <v>8.23</v>
      </c>
      <c r="CC20" s="42">
        <v>2.1</v>
      </c>
      <c r="CD20" s="42">
        <v>4</v>
      </c>
      <c r="CE20" s="42">
        <v>1.8</v>
      </c>
      <c r="CF20" s="42">
        <v>1.7</v>
      </c>
    </row>
    <row r="21" spans="1:84">
      <c r="A21" s="452"/>
      <c r="B21" s="24">
        <v>43201</v>
      </c>
      <c r="C21" s="25">
        <v>82.2</v>
      </c>
      <c r="D21" s="26">
        <v>0.51700000000000002</v>
      </c>
      <c r="E21" s="25">
        <v>64.400000000000006</v>
      </c>
      <c r="F21" s="27">
        <v>92</v>
      </c>
      <c r="G21" s="27">
        <v>73</v>
      </c>
      <c r="H21" s="27">
        <v>24</v>
      </c>
      <c r="I21" s="27">
        <v>0</v>
      </c>
      <c r="J21" s="27">
        <v>24</v>
      </c>
      <c r="K21" s="27">
        <v>0</v>
      </c>
      <c r="L21" s="29">
        <v>0</v>
      </c>
      <c r="M21" s="29">
        <v>0</v>
      </c>
      <c r="N21" s="29">
        <v>0</v>
      </c>
      <c r="O21" s="29">
        <v>0</v>
      </c>
      <c r="P21" s="29">
        <v>24</v>
      </c>
      <c r="Q21" s="27">
        <v>0</v>
      </c>
      <c r="R21" s="252">
        <v>3574</v>
      </c>
      <c r="S21" s="253">
        <v>3497</v>
      </c>
      <c r="T21" s="253">
        <v>3497</v>
      </c>
      <c r="U21" s="253">
        <v>3422</v>
      </c>
      <c r="V21" s="253">
        <v>3532</v>
      </c>
      <c r="W21" s="27">
        <v>44</v>
      </c>
      <c r="X21" s="27">
        <v>0</v>
      </c>
      <c r="Y21" s="27">
        <v>45</v>
      </c>
      <c r="Z21" s="29">
        <v>0</v>
      </c>
      <c r="AA21" s="29">
        <v>58</v>
      </c>
      <c r="AB21" s="29">
        <v>0</v>
      </c>
      <c r="AC21" s="32">
        <f t="shared" si="16"/>
        <v>110</v>
      </c>
      <c r="AD21" s="33">
        <f t="shared" si="17"/>
        <v>-75</v>
      </c>
      <c r="AE21" s="27">
        <v>150</v>
      </c>
      <c r="AF21" s="34">
        <f t="shared" si="18"/>
        <v>0.98111111111111116</v>
      </c>
      <c r="AG21" s="35">
        <f t="shared" si="19"/>
        <v>148.91666666666666</v>
      </c>
      <c r="AH21" s="34">
        <f>IF(U21&gt;0,(U21/R21),"no data")</f>
        <v>0.95747062115277004</v>
      </c>
      <c r="AI21" s="226">
        <f t="shared" si="31"/>
        <v>1</v>
      </c>
      <c r="AJ21" s="37">
        <f t="shared" si="21"/>
        <v>1</v>
      </c>
      <c r="AK21" s="236">
        <v>9.56</v>
      </c>
      <c r="AL21" s="240">
        <v>138.41</v>
      </c>
      <c r="AM21" s="38">
        <f t="shared" si="22"/>
        <v>1323.1996000000001</v>
      </c>
      <c r="AN21" s="236">
        <v>29.266881000000001</v>
      </c>
      <c r="AO21" s="330">
        <v>982.58130068591868</v>
      </c>
      <c r="AP21" s="39">
        <f t="shared" si="23"/>
        <v>28757.09</v>
      </c>
      <c r="AQ21" s="201">
        <f t="shared" si="24"/>
        <v>8790.2658094681465</v>
      </c>
      <c r="AR21" s="229">
        <f t="shared" ref="AR21:AR30" si="32">IF(S21&gt;0,S21/24, "no data")</f>
        <v>145.70833333333334</v>
      </c>
      <c r="AS21" s="13"/>
      <c r="AT21" s="27">
        <v>0</v>
      </c>
      <c r="AU21" s="40">
        <v>0</v>
      </c>
      <c r="AV21" s="40">
        <v>0</v>
      </c>
      <c r="AW21" s="27">
        <v>0</v>
      </c>
      <c r="AX21" s="40">
        <v>0</v>
      </c>
      <c r="AY21" s="27">
        <v>0</v>
      </c>
      <c r="AZ21" s="27">
        <v>0</v>
      </c>
      <c r="BA21" s="4"/>
      <c r="BB21" s="52">
        <v>1063</v>
      </c>
      <c r="BC21" s="52">
        <v>1087</v>
      </c>
      <c r="BD21" s="52">
        <v>1382</v>
      </c>
      <c r="BE21" s="41">
        <f t="shared" si="26"/>
        <v>24</v>
      </c>
      <c r="BF21" s="41">
        <f t="shared" si="27"/>
        <v>8790.2658094681465</v>
      </c>
      <c r="BG21" s="60">
        <f t="shared" si="28"/>
        <v>57.583333333333336</v>
      </c>
      <c r="BH21" s="43">
        <v>1.9490000000000001</v>
      </c>
      <c r="BI21" s="44">
        <v>1.9490000000000001</v>
      </c>
      <c r="BJ21" s="45">
        <v>28.83</v>
      </c>
      <c r="BK21" s="47">
        <v>27.1</v>
      </c>
      <c r="BL21" s="47">
        <v>21.87</v>
      </c>
      <c r="BM21" s="47">
        <v>27.83</v>
      </c>
      <c r="BN21" s="66">
        <v>987</v>
      </c>
      <c r="BO21" s="45">
        <v>50.12</v>
      </c>
      <c r="BP21" s="48">
        <v>0.93630000000000002</v>
      </c>
      <c r="BQ21" s="42">
        <v>96.7</v>
      </c>
      <c r="BR21" s="42">
        <v>86.62</v>
      </c>
      <c r="BS21" s="41">
        <v>11978</v>
      </c>
      <c r="BT21" s="41">
        <v>11664</v>
      </c>
      <c r="BU21" s="51">
        <f t="shared" si="29"/>
        <v>-314</v>
      </c>
      <c r="BV21" s="41">
        <f t="shared" si="30"/>
        <v>3.8980000000000001</v>
      </c>
      <c r="BW21" s="42">
        <v>24</v>
      </c>
      <c r="BX21" s="42">
        <v>24</v>
      </c>
      <c r="BZ21" s="42">
        <v>24</v>
      </c>
      <c r="CA21" s="42">
        <v>8.0299999999999994</v>
      </c>
      <c r="CC21" s="42">
        <v>2.1</v>
      </c>
      <c r="CD21" s="42">
        <v>4</v>
      </c>
      <c r="CE21" s="42">
        <v>1.8</v>
      </c>
      <c r="CF21" s="42">
        <v>1.7</v>
      </c>
    </row>
    <row r="22" spans="1:84">
      <c r="A22" s="452"/>
      <c r="B22" s="24">
        <v>43202</v>
      </c>
      <c r="C22" s="25">
        <v>82.7</v>
      </c>
      <c r="D22" s="26">
        <v>0.48699999999999999</v>
      </c>
      <c r="E22" s="38">
        <v>63.5</v>
      </c>
      <c r="F22" s="27">
        <v>95</v>
      </c>
      <c r="G22" s="27">
        <v>70</v>
      </c>
      <c r="H22" s="27">
        <v>24</v>
      </c>
      <c r="I22" s="27">
        <v>0</v>
      </c>
      <c r="J22" s="27">
        <v>24</v>
      </c>
      <c r="K22" s="27">
        <v>0</v>
      </c>
      <c r="L22" s="29">
        <v>0</v>
      </c>
      <c r="M22" s="29">
        <v>0</v>
      </c>
      <c r="N22" s="29">
        <v>0</v>
      </c>
      <c r="O22" s="29">
        <v>0</v>
      </c>
      <c r="P22" s="29">
        <v>24</v>
      </c>
      <c r="Q22" s="27">
        <v>0</v>
      </c>
      <c r="R22" s="252">
        <v>3566</v>
      </c>
      <c r="S22" s="253">
        <v>3510</v>
      </c>
      <c r="T22" s="27">
        <v>3510</v>
      </c>
      <c r="U22" s="27">
        <v>3437</v>
      </c>
      <c r="V22" s="27">
        <v>3546</v>
      </c>
      <c r="W22" s="27">
        <v>44</v>
      </c>
      <c r="X22" s="27">
        <v>0</v>
      </c>
      <c r="Y22" s="27">
        <v>45</v>
      </c>
      <c r="Z22" s="29">
        <v>0</v>
      </c>
      <c r="AA22" s="29">
        <v>58</v>
      </c>
      <c r="AB22" s="29">
        <v>0</v>
      </c>
      <c r="AC22" s="32">
        <f t="shared" si="16"/>
        <v>109</v>
      </c>
      <c r="AD22" s="33">
        <f t="shared" si="17"/>
        <v>-73</v>
      </c>
      <c r="AE22" s="27">
        <v>150</v>
      </c>
      <c r="AF22" s="34">
        <f t="shared" si="18"/>
        <v>0.98499999999999999</v>
      </c>
      <c r="AG22" s="35">
        <f t="shared" si="19"/>
        <v>148.58333333333334</v>
      </c>
      <c r="AH22" s="34">
        <f t="shared" si="20"/>
        <v>0.96382501402131238</v>
      </c>
      <c r="AI22" s="226">
        <f t="shared" si="31"/>
        <v>1</v>
      </c>
      <c r="AJ22" s="37">
        <f t="shared" si="21"/>
        <v>1</v>
      </c>
      <c r="AK22" s="236">
        <v>9.5399999999999991</v>
      </c>
      <c r="AL22" s="240">
        <v>137.04</v>
      </c>
      <c r="AM22" s="38">
        <f t="shared" si="22"/>
        <v>1307.3615999999997</v>
      </c>
      <c r="AN22" s="236">
        <v>29.524650000000001</v>
      </c>
      <c r="AO22" s="330">
        <v>977.66611966610947</v>
      </c>
      <c r="AP22" s="39">
        <f t="shared" si="23"/>
        <v>28865.25</v>
      </c>
      <c r="AQ22" s="201">
        <f t="shared" si="24"/>
        <v>8778.7639220250221</v>
      </c>
      <c r="AR22" s="229">
        <f t="shared" si="32"/>
        <v>146.25</v>
      </c>
      <c r="AS22" s="13"/>
      <c r="AT22" s="27">
        <v>0</v>
      </c>
      <c r="AU22" s="40">
        <v>0</v>
      </c>
      <c r="AV22" s="40">
        <v>0</v>
      </c>
      <c r="AW22" s="27">
        <v>0</v>
      </c>
      <c r="AX22" s="40">
        <v>0</v>
      </c>
      <c r="AY22" s="27">
        <v>0</v>
      </c>
      <c r="AZ22" s="27">
        <v>0</v>
      </c>
      <c r="BA22" s="4"/>
      <c r="BB22" s="52">
        <v>1067</v>
      </c>
      <c r="BC22" s="52">
        <v>1087</v>
      </c>
      <c r="BD22" s="52">
        <v>1392</v>
      </c>
      <c r="BE22" s="41">
        <f t="shared" si="26"/>
        <v>20</v>
      </c>
      <c r="BF22" s="41">
        <f t="shared" si="27"/>
        <v>8778.7639220250221</v>
      </c>
      <c r="BG22" s="60">
        <f t="shared" si="28"/>
        <v>58</v>
      </c>
      <c r="BH22" s="43">
        <v>1.958</v>
      </c>
      <c r="BI22" s="44">
        <v>1.962</v>
      </c>
      <c r="BJ22" s="45">
        <v>28.8</v>
      </c>
      <c r="BK22" s="47">
        <v>27.37</v>
      </c>
      <c r="BL22" s="47">
        <v>22.03</v>
      </c>
      <c r="BM22" s="47">
        <v>27.64</v>
      </c>
      <c r="BN22" s="47">
        <v>989</v>
      </c>
      <c r="BO22" s="45">
        <v>50.12</v>
      </c>
      <c r="BP22" s="48">
        <v>0.93720000000000003</v>
      </c>
      <c r="BQ22" s="42">
        <v>96.45</v>
      </c>
      <c r="BR22" s="42">
        <v>86.33</v>
      </c>
      <c r="BS22" s="41">
        <v>12039</v>
      </c>
      <c r="BT22" s="41">
        <v>11692</v>
      </c>
      <c r="BU22" s="51">
        <f t="shared" si="29"/>
        <v>-347</v>
      </c>
      <c r="BV22" s="41">
        <f t="shared" si="30"/>
        <v>3.92</v>
      </c>
      <c r="BW22" s="42">
        <v>24</v>
      </c>
      <c r="BX22" s="42">
        <v>24</v>
      </c>
      <c r="BZ22" s="42">
        <v>24</v>
      </c>
      <c r="CA22" s="42">
        <v>7</v>
      </c>
      <c r="CC22" s="42">
        <v>2.1</v>
      </c>
      <c r="CD22" s="42">
        <v>4</v>
      </c>
      <c r="CE22" s="42">
        <v>1.8</v>
      </c>
      <c r="CF22" s="42">
        <v>1.6</v>
      </c>
    </row>
    <row r="23" spans="1:84">
      <c r="A23" s="452"/>
      <c r="B23" s="24">
        <v>43203</v>
      </c>
      <c r="C23" s="25">
        <v>85</v>
      </c>
      <c r="D23" s="26">
        <v>0.36199999999999999</v>
      </c>
      <c r="E23" s="38">
        <v>60</v>
      </c>
      <c r="F23" s="28">
        <v>98</v>
      </c>
      <c r="G23" s="28">
        <v>70</v>
      </c>
      <c r="H23" s="28">
        <v>24</v>
      </c>
      <c r="I23" s="28">
        <v>0</v>
      </c>
      <c r="J23" s="28">
        <v>24</v>
      </c>
      <c r="K23" s="28">
        <v>0</v>
      </c>
      <c r="L23" s="28">
        <v>0</v>
      </c>
      <c r="M23" s="28">
        <v>0</v>
      </c>
      <c r="N23" s="28">
        <v>0</v>
      </c>
      <c r="O23" s="28">
        <v>0</v>
      </c>
      <c r="P23" s="28">
        <v>24</v>
      </c>
      <c r="Q23" s="27">
        <v>0</v>
      </c>
      <c r="R23" s="252">
        <v>3545</v>
      </c>
      <c r="S23" s="253">
        <v>3530</v>
      </c>
      <c r="T23" s="28">
        <v>3530</v>
      </c>
      <c r="U23" s="28">
        <v>3456</v>
      </c>
      <c r="V23" s="28">
        <v>3569</v>
      </c>
      <c r="W23" s="28">
        <v>45</v>
      </c>
      <c r="X23" s="28">
        <v>0</v>
      </c>
      <c r="Y23" s="28">
        <v>45</v>
      </c>
      <c r="Z23" s="28">
        <v>0</v>
      </c>
      <c r="AA23" s="28">
        <v>58</v>
      </c>
      <c r="AB23" s="28">
        <v>0</v>
      </c>
      <c r="AC23" s="32">
        <f t="shared" si="16"/>
        <v>113</v>
      </c>
      <c r="AD23" s="33">
        <f t="shared" si="17"/>
        <v>-74</v>
      </c>
      <c r="AE23" s="28">
        <v>153</v>
      </c>
      <c r="AF23" s="34">
        <f t="shared" si="18"/>
        <v>0.97194989106753815</v>
      </c>
      <c r="AG23" s="35">
        <f t="shared" si="19"/>
        <v>147.70833333333334</v>
      </c>
      <c r="AH23" s="34">
        <f t="shared" si="20"/>
        <v>0.97489421720733427</v>
      </c>
      <c r="AI23" s="226">
        <f t="shared" si="31"/>
        <v>1</v>
      </c>
      <c r="AJ23" s="37">
        <f t="shared" si="21"/>
        <v>1</v>
      </c>
      <c r="AK23" s="236">
        <v>9.5150000000000006</v>
      </c>
      <c r="AL23" s="240">
        <v>135.52000000000001</v>
      </c>
      <c r="AM23" s="38">
        <f t="shared" si="22"/>
        <v>1289.4728000000002</v>
      </c>
      <c r="AN23" s="236">
        <v>29.502551</v>
      </c>
      <c r="AO23" s="330">
        <v>979.18281710622239</v>
      </c>
      <c r="AP23" s="39">
        <f t="shared" si="23"/>
        <v>28888.391</v>
      </c>
      <c r="AQ23" s="201">
        <f t="shared" si="24"/>
        <v>8732.0207754629628</v>
      </c>
      <c r="AR23" s="229">
        <f t="shared" si="32"/>
        <v>147.08333333333334</v>
      </c>
      <c r="AS23" s="13"/>
      <c r="AT23" s="28">
        <v>0</v>
      </c>
      <c r="AU23" s="40">
        <v>0</v>
      </c>
      <c r="AV23" s="40">
        <v>0</v>
      </c>
      <c r="AW23" s="27">
        <v>0</v>
      </c>
      <c r="AX23" s="28">
        <v>0</v>
      </c>
      <c r="AY23" s="28">
        <v>0</v>
      </c>
      <c r="AZ23" s="28">
        <v>0</v>
      </c>
      <c r="BA23" s="4"/>
      <c r="BB23" s="52">
        <v>1080</v>
      </c>
      <c r="BC23" s="52">
        <v>1101</v>
      </c>
      <c r="BD23" s="52">
        <v>1388</v>
      </c>
      <c r="BE23" s="41">
        <f t="shared" si="26"/>
        <v>21</v>
      </c>
      <c r="BF23" s="41">
        <f t="shared" si="27"/>
        <v>8732.0207754629628</v>
      </c>
      <c r="BG23" s="60">
        <f t="shared" si="28"/>
        <v>57.833333333333336</v>
      </c>
      <c r="BH23" s="71">
        <v>1.8759999999999999</v>
      </c>
      <c r="BI23" s="71">
        <v>1.8759999999999999</v>
      </c>
      <c r="BJ23" s="72">
        <v>28.74</v>
      </c>
      <c r="BK23" s="72">
        <v>27.47</v>
      </c>
      <c r="BL23" s="72">
        <v>22.08</v>
      </c>
      <c r="BM23" s="72">
        <v>27.61</v>
      </c>
      <c r="BN23" s="73">
        <v>989.04</v>
      </c>
      <c r="BO23" s="73">
        <v>50.13</v>
      </c>
      <c r="BP23" s="74">
        <v>0.93769999999999998</v>
      </c>
      <c r="BQ23" s="54">
        <v>95.88</v>
      </c>
      <c r="BR23" s="54">
        <v>86.05</v>
      </c>
      <c r="BS23" s="55">
        <v>11959</v>
      </c>
      <c r="BT23" s="55">
        <v>11598</v>
      </c>
      <c r="BU23" s="51">
        <f t="shared" si="29"/>
        <v>-361</v>
      </c>
      <c r="BV23" s="41">
        <f t="shared" si="30"/>
        <v>3.7519999999999998</v>
      </c>
      <c r="BW23" s="73">
        <v>24</v>
      </c>
      <c r="BX23" s="73">
        <v>24</v>
      </c>
      <c r="BZ23" s="73">
        <v>24</v>
      </c>
      <c r="CA23" s="73">
        <v>7.6</v>
      </c>
      <c r="CC23" s="73">
        <v>2.1</v>
      </c>
      <c r="CD23" s="73">
        <v>4</v>
      </c>
      <c r="CE23" s="73">
        <v>1.8</v>
      </c>
      <c r="CF23" s="73">
        <v>1.5</v>
      </c>
    </row>
    <row r="24" spans="1:84">
      <c r="A24" s="452"/>
      <c r="B24" s="24">
        <v>43204</v>
      </c>
      <c r="C24" s="25">
        <v>88</v>
      </c>
      <c r="D24" s="26">
        <v>0.39</v>
      </c>
      <c r="E24" s="38">
        <v>63</v>
      </c>
      <c r="F24" s="75">
        <v>100</v>
      </c>
      <c r="G24" s="75">
        <v>74</v>
      </c>
      <c r="H24" s="27">
        <v>24</v>
      </c>
      <c r="I24" s="27">
        <v>0</v>
      </c>
      <c r="J24" s="27">
        <v>24</v>
      </c>
      <c r="K24" s="27">
        <v>0</v>
      </c>
      <c r="L24" s="29">
        <v>0</v>
      </c>
      <c r="M24" s="29">
        <v>0</v>
      </c>
      <c r="N24" s="29">
        <v>0</v>
      </c>
      <c r="O24" s="29">
        <v>0</v>
      </c>
      <c r="P24" s="29">
        <v>24</v>
      </c>
      <c r="Q24" s="253">
        <v>0</v>
      </c>
      <c r="R24" s="252">
        <v>3521</v>
      </c>
      <c r="S24" s="253">
        <v>3497</v>
      </c>
      <c r="T24" s="75">
        <v>3497</v>
      </c>
      <c r="U24" s="75">
        <v>3419</v>
      </c>
      <c r="V24" s="27">
        <v>3528</v>
      </c>
      <c r="W24" s="27">
        <v>44</v>
      </c>
      <c r="X24" s="27">
        <v>0</v>
      </c>
      <c r="Y24" s="27">
        <v>45</v>
      </c>
      <c r="Z24" s="29">
        <v>0</v>
      </c>
      <c r="AA24" s="29">
        <v>57</v>
      </c>
      <c r="AB24" s="29">
        <v>0</v>
      </c>
      <c r="AC24" s="32">
        <f t="shared" si="16"/>
        <v>109</v>
      </c>
      <c r="AD24" s="33">
        <f t="shared" si="17"/>
        <v>-78</v>
      </c>
      <c r="AE24" s="28">
        <v>150</v>
      </c>
      <c r="AF24" s="34">
        <f t="shared" si="18"/>
        <v>0.98</v>
      </c>
      <c r="AG24" s="35">
        <f t="shared" si="19"/>
        <v>146.70833333333334</v>
      </c>
      <c r="AH24" s="34">
        <f t="shared" si="20"/>
        <v>0.97103095711445608</v>
      </c>
      <c r="AI24" s="226">
        <f t="shared" si="31"/>
        <v>1</v>
      </c>
      <c r="AJ24" s="37">
        <f t="shared" si="21"/>
        <v>1</v>
      </c>
      <c r="AK24" s="236">
        <v>9.5350000000000001</v>
      </c>
      <c r="AL24" s="240">
        <v>136.81</v>
      </c>
      <c r="AM24" s="38">
        <f t="shared" si="22"/>
        <v>1304.48335</v>
      </c>
      <c r="AN24" s="236">
        <v>29.42558</v>
      </c>
      <c r="AO24" s="330">
        <v>974.75835650478268</v>
      </c>
      <c r="AP24" s="39">
        <f t="shared" si="23"/>
        <v>28682.83</v>
      </c>
      <c r="AQ24" s="201">
        <f t="shared" si="24"/>
        <v>8770.7848347470026</v>
      </c>
      <c r="AR24" s="229">
        <f t="shared" si="32"/>
        <v>145.70833333333334</v>
      </c>
      <c r="AS24" s="13"/>
      <c r="AT24" s="27">
        <v>0</v>
      </c>
      <c r="AU24" s="40">
        <v>0</v>
      </c>
      <c r="AV24" s="40">
        <v>0</v>
      </c>
      <c r="AW24" s="27">
        <v>0</v>
      </c>
      <c r="AX24" s="40">
        <v>0</v>
      </c>
      <c r="AY24" s="27">
        <v>0</v>
      </c>
      <c r="AZ24" s="27">
        <v>0</v>
      </c>
      <c r="BA24" s="4"/>
      <c r="BB24" s="52">
        <v>1063</v>
      </c>
      <c r="BC24" s="52">
        <v>1083</v>
      </c>
      <c r="BD24" s="52">
        <v>1382</v>
      </c>
      <c r="BE24" s="41">
        <f t="shared" si="26"/>
        <v>20</v>
      </c>
      <c r="BF24" s="41">
        <f t="shared" si="27"/>
        <v>8770.7848347470026</v>
      </c>
      <c r="BG24" s="60">
        <f t="shared" si="28"/>
        <v>57.583333333333336</v>
      </c>
      <c r="BH24" s="43">
        <v>1.92</v>
      </c>
      <c r="BI24" s="44">
        <v>1.92</v>
      </c>
      <c r="BJ24" s="45">
        <v>28.68</v>
      </c>
      <c r="BK24" s="47">
        <v>27.37</v>
      </c>
      <c r="BL24" s="47">
        <v>21.98</v>
      </c>
      <c r="BM24" s="47">
        <v>27.44</v>
      </c>
      <c r="BN24" s="47">
        <v>987.9</v>
      </c>
      <c r="BO24" s="45">
        <v>50.05</v>
      </c>
      <c r="BP24" s="48">
        <v>0.93779999999999997</v>
      </c>
      <c r="BQ24" s="54">
        <v>96.12</v>
      </c>
      <c r="BR24" s="54">
        <v>86.23</v>
      </c>
      <c r="BS24" s="55">
        <v>12102</v>
      </c>
      <c r="BT24" s="55">
        <v>11726</v>
      </c>
      <c r="BU24" s="51">
        <f t="shared" si="29"/>
        <v>-376</v>
      </c>
      <c r="BV24" s="41">
        <f t="shared" si="30"/>
        <v>3.84</v>
      </c>
      <c r="BW24" s="42">
        <v>24</v>
      </c>
      <c r="BX24" s="42">
        <v>24</v>
      </c>
      <c r="BZ24" s="42">
        <v>24</v>
      </c>
      <c r="CA24" s="42">
        <v>6.8</v>
      </c>
      <c r="CC24" s="42">
        <v>2.1</v>
      </c>
      <c r="CD24" s="42">
        <v>4.2</v>
      </c>
      <c r="CE24" s="42">
        <v>1.5</v>
      </c>
      <c r="CF24" s="42">
        <v>1.8</v>
      </c>
    </row>
    <row r="25" spans="1:84">
      <c r="A25" s="453"/>
      <c r="B25" s="24">
        <v>43205</v>
      </c>
      <c r="C25" s="25">
        <v>88.2</v>
      </c>
      <c r="D25" s="26">
        <v>0.39500000000000002</v>
      </c>
      <c r="E25" s="38">
        <v>64.099999999999994</v>
      </c>
      <c r="F25" s="28">
        <v>102</v>
      </c>
      <c r="G25" s="28">
        <v>75</v>
      </c>
      <c r="H25" s="27">
        <v>24</v>
      </c>
      <c r="I25" s="27">
        <v>0</v>
      </c>
      <c r="J25" s="27">
        <v>24</v>
      </c>
      <c r="K25" s="27">
        <v>0</v>
      </c>
      <c r="L25" s="29">
        <v>0</v>
      </c>
      <c r="M25" s="29">
        <v>0</v>
      </c>
      <c r="N25" s="29">
        <v>0</v>
      </c>
      <c r="O25" s="29">
        <v>0</v>
      </c>
      <c r="P25" s="29">
        <v>0</v>
      </c>
      <c r="Q25" s="253">
        <v>0</v>
      </c>
      <c r="R25" s="251">
        <v>3515</v>
      </c>
      <c r="S25" s="253">
        <v>3131</v>
      </c>
      <c r="T25" s="28">
        <v>3131</v>
      </c>
      <c r="U25" s="28">
        <v>3064</v>
      </c>
      <c r="V25" s="27">
        <v>3160</v>
      </c>
      <c r="W25" s="27">
        <v>44</v>
      </c>
      <c r="X25" s="27">
        <v>0</v>
      </c>
      <c r="Y25" s="27">
        <v>45</v>
      </c>
      <c r="Z25" s="29">
        <v>0</v>
      </c>
      <c r="AA25" s="29">
        <v>57</v>
      </c>
      <c r="AB25" s="29">
        <v>0</v>
      </c>
      <c r="AC25" s="32">
        <f t="shared" si="16"/>
        <v>96</v>
      </c>
      <c r="AD25" s="33">
        <f t="shared" si="17"/>
        <v>-67</v>
      </c>
      <c r="AE25" s="28">
        <v>135</v>
      </c>
      <c r="AF25" s="34">
        <f t="shared" si="18"/>
        <v>0.97530864197530864</v>
      </c>
      <c r="AG25" s="35">
        <f t="shared" si="19"/>
        <v>146.45833333333334</v>
      </c>
      <c r="AH25" s="34">
        <f t="shared" si="20"/>
        <v>0.87169274537695596</v>
      </c>
      <c r="AI25" s="226">
        <f t="shared" si="31"/>
        <v>1</v>
      </c>
      <c r="AJ25" s="37">
        <f t="shared" si="21"/>
        <v>0.90410958904109595</v>
      </c>
      <c r="AK25" s="236">
        <v>9.5250000000000004</v>
      </c>
      <c r="AL25" s="240">
        <v>136.1</v>
      </c>
      <c r="AM25" s="38">
        <f t="shared" si="22"/>
        <v>1296.3525</v>
      </c>
      <c r="AN25" s="236">
        <v>25.415839999999999</v>
      </c>
      <c r="AO25" s="330">
        <v>972.36050431541912</v>
      </c>
      <c r="AP25" s="39">
        <f t="shared" si="23"/>
        <v>24713.359</v>
      </c>
      <c r="AQ25" s="201">
        <f t="shared" si="24"/>
        <v>8488.809236292429</v>
      </c>
      <c r="AR25" s="229">
        <f t="shared" si="32"/>
        <v>130.45833333333334</v>
      </c>
      <c r="AS25" s="13"/>
      <c r="AT25" s="27">
        <v>0</v>
      </c>
      <c r="AU25" s="40">
        <v>0</v>
      </c>
      <c r="AV25" s="40">
        <v>0</v>
      </c>
      <c r="AW25" s="27">
        <v>0</v>
      </c>
      <c r="AX25" s="40">
        <v>14</v>
      </c>
      <c r="AY25" s="27">
        <v>1440</v>
      </c>
      <c r="AZ25" s="27">
        <v>0</v>
      </c>
      <c r="BA25" s="4"/>
      <c r="BB25" s="52">
        <v>1059</v>
      </c>
      <c r="BC25" s="52">
        <v>1076</v>
      </c>
      <c r="BD25" s="52">
        <v>1025</v>
      </c>
      <c r="BE25" s="41">
        <f t="shared" si="26"/>
        <v>17</v>
      </c>
      <c r="BF25" s="41">
        <f t="shared" si="27"/>
        <v>8488.809236292429</v>
      </c>
      <c r="BG25" s="60">
        <f t="shared" si="28"/>
        <v>42.708333333333336</v>
      </c>
      <c r="BH25" s="43">
        <v>0</v>
      </c>
      <c r="BI25" s="44">
        <v>0</v>
      </c>
      <c r="BJ25" s="45">
        <v>28.6</v>
      </c>
      <c r="BK25" s="47">
        <v>27.31</v>
      </c>
      <c r="BL25" s="47">
        <v>21.92</v>
      </c>
      <c r="BM25" s="47">
        <v>27.2</v>
      </c>
      <c r="BN25" s="47">
        <v>985.9</v>
      </c>
      <c r="BO25" s="45">
        <v>50.03</v>
      </c>
      <c r="BP25" s="48">
        <v>0.93759999999999999</v>
      </c>
      <c r="BQ25" s="54">
        <v>96.1</v>
      </c>
      <c r="BR25" s="54">
        <v>86.31</v>
      </c>
      <c r="BS25" s="55">
        <v>12084</v>
      </c>
      <c r="BT25" s="55">
        <v>11756</v>
      </c>
      <c r="BU25" s="51">
        <f t="shared" si="29"/>
        <v>-328</v>
      </c>
      <c r="BV25" s="41">
        <f t="shared" si="30"/>
        <v>0</v>
      </c>
      <c r="BW25" s="42">
        <v>0</v>
      </c>
      <c r="BX25" s="42">
        <v>0</v>
      </c>
      <c r="BZ25" s="42">
        <v>24</v>
      </c>
      <c r="CA25" s="42">
        <v>7.87</v>
      </c>
      <c r="CC25" s="42">
        <v>2.1</v>
      </c>
      <c r="CD25" s="42">
        <v>4</v>
      </c>
      <c r="CE25" s="42">
        <v>1.8</v>
      </c>
      <c r="CF25" s="42">
        <v>1.7</v>
      </c>
    </row>
    <row r="26" spans="1:84">
      <c r="A26" s="451" t="s">
        <v>179</v>
      </c>
      <c r="B26" s="24">
        <v>43206</v>
      </c>
      <c r="C26" s="157">
        <v>80.900000000000006</v>
      </c>
      <c r="D26" s="197">
        <v>0.57199999999999995</v>
      </c>
      <c r="E26" s="171">
        <v>66</v>
      </c>
      <c r="F26" s="160">
        <v>92</v>
      </c>
      <c r="G26" s="160">
        <v>69</v>
      </c>
      <c r="H26" s="160">
        <v>24</v>
      </c>
      <c r="I26" s="160">
        <v>0</v>
      </c>
      <c r="J26" s="160">
        <v>24</v>
      </c>
      <c r="K26" s="160">
        <v>0</v>
      </c>
      <c r="L26" s="188">
        <v>0</v>
      </c>
      <c r="M26" s="188">
        <v>0</v>
      </c>
      <c r="N26" s="188">
        <v>0</v>
      </c>
      <c r="O26" s="188">
        <v>0</v>
      </c>
      <c r="P26" s="188">
        <v>13</v>
      </c>
      <c r="Q26" s="262">
        <v>0</v>
      </c>
      <c r="R26" s="257">
        <v>3588</v>
      </c>
      <c r="S26" s="159">
        <v>3334</v>
      </c>
      <c r="T26" s="160">
        <v>3334</v>
      </c>
      <c r="U26" s="160">
        <v>3262</v>
      </c>
      <c r="V26" s="160">
        <v>3367</v>
      </c>
      <c r="W26" s="160">
        <v>44</v>
      </c>
      <c r="X26" s="160">
        <v>0</v>
      </c>
      <c r="Y26" s="160">
        <v>45</v>
      </c>
      <c r="Z26" s="188">
        <v>0</v>
      </c>
      <c r="AA26" s="188">
        <v>57</v>
      </c>
      <c r="AB26" s="188">
        <v>0</v>
      </c>
      <c r="AC26" s="165">
        <f t="shared" si="16"/>
        <v>105</v>
      </c>
      <c r="AD26" s="166">
        <f t="shared" si="17"/>
        <v>-72</v>
      </c>
      <c r="AE26" s="160">
        <v>151</v>
      </c>
      <c r="AF26" s="167">
        <f t="shared" si="18"/>
        <v>0.92908388520971308</v>
      </c>
      <c r="AG26" s="168">
        <f t="shared" si="19"/>
        <v>149.5</v>
      </c>
      <c r="AH26" s="167">
        <f t="shared" si="20"/>
        <v>0.90914158305462656</v>
      </c>
      <c r="AI26" s="169">
        <f t="shared" si="31"/>
        <v>1</v>
      </c>
      <c r="AJ26" s="170">
        <f t="shared" si="21"/>
        <v>0.95605022831050235</v>
      </c>
      <c r="AK26" s="236">
        <v>9.52</v>
      </c>
      <c r="AL26" s="240">
        <v>135.75</v>
      </c>
      <c r="AM26" s="275">
        <f t="shared" si="22"/>
        <v>1292.3399999999999</v>
      </c>
      <c r="AN26" s="236">
        <v>27.631</v>
      </c>
      <c r="AO26" s="317">
        <v>977.23</v>
      </c>
      <c r="AP26" s="172">
        <f t="shared" si="23"/>
        <v>27001.842130000001</v>
      </c>
      <c r="AQ26" s="202">
        <f t="shared" si="24"/>
        <v>8673.8755763335375</v>
      </c>
      <c r="AR26" s="199">
        <f t="shared" si="32"/>
        <v>138.91666666666666</v>
      </c>
      <c r="AS26" s="13"/>
      <c r="AT26" s="159">
        <v>0</v>
      </c>
      <c r="AU26" s="174">
        <v>0</v>
      </c>
      <c r="AV26" s="174">
        <v>0</v>
      </c>
      <c r="AW26" s="159">
        <v>0</v>
      </c>
      <c r="AX26" s="174">
        <v>14</v>
      </c>
      <c r="AY26" s="159">
        <v>660</v>
      </c>
      <c r="AZ26" s="159">
        <v>0</v>
      </c>
      <c r="BA26" s="4"/>
      <c r="BB26" s="175">
        <v>1058</v>
      </c>
      <c r="BC26" s="175">
        <v>1079</v>
      </c>
      <c r="BD26" s="175">
        <v>1230</v>
      </c>
      <c r="BE26" s="175">
        <f t="shared" si="26"/>
        <v>21</v>
      </c>
      <c r="BF26" s="175">
        <f t="shared" si="27"/>
        <v>8673.8755763335375</v>
      </c>
      <c r="BG26" s="177">
        <f t="shared" si="28"/>
        <v>51.25</v>
      </c>
      <c r="BH26" s="191">
        <v>1.1870000000000001</v>
      </c>
      <c r="BI26" s="155">
        <v>1.1619999999999999</v>
      </c>
      <c r="BJ26" s="181">
        <v>28.8</v>
      </c>
      <c r="BK26" s="192">
        <v>27.29</v>
      </c>
      <c r="BL26" s="192">
        <v>21.91</v>
      </c>
      <c r="BM26" s="192">
        <v>27.55</v>
      </c>
      <c r="BN26" s="192">
        <v>988.3</v>
      </c>
      <c r="BO26" s="192">
        <v>50.07</v>
      </c>
      <c r="BP26" s="193">
        <v>0.93730000000000002</v>
      </c>
      <c r="BQ26" s="194">
        <v>96.84</v>
      </c>
      <c r="BR26" s="194">
        <v>86.49</v>
      </c>
      <c r="BS26" s="194">
        <v>12123</v>
      </c>
      <c r="BT26" s="194">
        <v>11752</v>
      </c>
      <c r="BU26" s="51">
        <f t="shared" si="29"/>
        <v>-371</v>
      </c>
      <c r="BV26" s="175">
        <f t="shared" si="30"/>
        <v>2.3490000000000002</v>
      </c>
      <c r="BW26" s="177">
        <v>13</v>
      </c>
      <c r="BX26" s="177">
        <v>13</v>
      </c>
      <c r="BZ26" s="177">
        <v>24</v>
      </c>
      <c r="CA26" s="177">
        <v>7.1</v>
      </c>
      <c r="CC26" s="177">
        <v>2.1</v>
      </c>
      <c r="CD26" s="177">
        <v>4</v>
      </c>
      <c r="CE26" s="177">
        <v>1.8</v>
      </c>
      <c r="CF26" s="177">
        <v>1.4</v>
      </c>
    </row>
    <row r="27" spans="1:84">
      <c r="A27" s="452"/>
      <c r="B27" s="24">
        <v>43207</v>
      </c>
      <c r="C27" s="157">
        <v>79.5</v>
      </c>
      <c r="D27" s="197">
        <v>0.54200000000000004</v>
      </c>
      <c r="E27" s="171">
        <v>64</v>
      </c>
      <c r="F27" s="160">
        <v>90</v>
      </c>
      <c r="G27" s="160">
        <v>68</v>
      </c>
      <c r="H27" s="160">
        <v>24</v>
      </c>
      <c r="I27" s="160">
        <v>0</v>
      </c>
      <c r="J27" s="160">
        <v>24</v>
      </c>
      <c r="K27" s="160">
        <v>0</v>
      </c>
      <c r="L27" s="188">
        <v>0</v>
      </c>
      <c r="M27" s="188">
        <v>0</v>
      </c>
      <c r="N27" s="188">
        <v>0</v>
      </c>
      <c r="O27" s="188">
        <v>0</v>
      </c>
      <c r="P27" s="188">
        <v>24</v>
      </c>
      <c r="Q27" s="262">
        <v>0</v>
      </c>
      <c r="R27" s="257">
        <v>3602</v>
      </c>
      <c r="S27" s="159">
        <v>3523</v>
      </c>
      <c r="T27" s="160">
        <v>3523</v>
      </c>
      <c r="U27" s="160">
        <v>3444</v>
      </c>
      <c r="V27" s="160">
        <v>3553</v>
      </c>
      <c r="W27" s="160">
        <v>45</v>
      </c>
      <c r="X27" s="160">
        <v>0</v>
      </c>
      <c r="Y27" s="160">
        <v>45</v>
      </c>
      <c r="Z27" s="188">
        <v>0</v>
      </c>
      <c r="AA27" s="188">
        <v>58</v>
      </c>
      <c r="AB27" s="188">
        <v>0</v>
      </c>
      <c r="AC27" s="165">
        <f t="shared" si="16"/>
        <v>109</v>
      </c>
      <c r="AD27" s="166">
        <f t="shared" si="17"/>
        <v>-79</v>
      </c>
      <c r="AE27" s="160">
        <v>151</v>
      </c>
      <c r="AF27" s="167">
        <f t="shared" si="18"/>
        <v>0.98040838852097134</v>
      </c>
      <c r="AG27" s="168">
        <f t="shared" si="19"/>
        <v>150.08333333333334</v>
      </c>
      <c r="AH27" s="167">
        <f t="shared" si="20"/>
        <v>0.95613548028872852</v>
      </c>
      <c r="AI27" s="169">
        <f t="shared" si="31"/>
        <v>1</v>
      </c>
      <c r="AJ27" s="170">
        <f t="shared" si="21"/>
        <v>1</v>
      </c>
      <c r="AK27" s="235">
        <v>9.5050000000000008</v>
      </c>
      <c r="AL27" s="239">
        <v>135.13999999999999</v>
      </c>
      <c r="AM27" s="275">
        <f t="shared" si="22"/>
        <v>1284.5056999999999</v>
      </c>
      <c r="AN27" s="235">
        <v>29.66</v>
      </c>
      <c r="AO27" s="317">
        <v>976.09</v>
      </c>
      <c r="AP27" s="172">
        <f t="shared" si="23"/>
        <v>28950.829400000002</v>
      </c>
      <c r="AQ27" s="202">
        <f t="shared" si="24"/>
        <v>8779.1333042973292</v>
      </c>
      <c r="AR27" s="199">
        <f>IF(S27&gt;0,(S27/24), "no data")</f>
        <v>146.79166666666666</v>
      </c>
      <c r="AS27" s="13"/>
      <c r="AT27" s="159">
        <v>0</v>
      </c>
      <c r="AU27" s="174">
        <v>0</v>
      </c>
      <c r="AV27" s="159">
        <v>0</v>
      </c>
      <c r="AW27" s="159">
        <v>0</v>
      </c>
      <c r="AX27" s="174">
        <v>0</v>
      </c>
      <c r="AY27" s="159">
        <v>0</v>
      </c>
      <c r="AZ27" s="159">
        <v>0</v>
      </c>
      <c r="BA27" s="4"/>
      <c r="BB27" s="175">
        <v>1069</v>
      </c>
      <c r="BC27" s="175">
        <v>1087</v>
      </c>
      <c r="BD27" s="175">
        <v>1397</v>
      </c>
      <c r="BE27" s="175">
        <f t="shared" si="26"/>
        <v>18</v>
      </c>
      <c r="BF27" s="175">
        <f t="shared" si="27"/>
        <v>8779.1333042973292</v>
      </c>
      <c r="BG27" s="177">
        <f t="shared" si="28"/>
        <v>58.208333333333336</v>
      </c>
      <c r="BH27" s="191">
        <v>1.9890000000000001</v>
      </c>
      <c r="BI27" s="155">
        <v>1.9890000000000001</v>
      </c>
      <c r="BJ27" s="181">
        <v>28.8</v>
      </c>
      <c r="BK27" s="192">
        <v>22.22</v>
      </c>
      <c r="BL27" s="192">
        <v>27.45</v>
      </c>
      <c r="BM27" s="192">
        <v>26.5</v>
      </c>
      <c r="BN27" s="195">
        <v>989.9</v>
      </c>
      <c r="BO27" s="192">
        <v>50.08</v>
      </c>
      <c r="BP27" s="193">
        <v>0.93730000000000002</v>
      </c>
      <c r="BQ27" s="194">
        <v>96.75</v>
      </c>
      <c r="BR27" s="194">
        <v>86.37</v>
      </c>
      <c r="BS27" s="194">
        <v>12076</v>
      </c>
      <c r="BT27" s="194">
        <v>11702</v>
      </c>
      <c r="BU27" s="51">
        <f t="shared" si="29"/>
        <v>-374</v>
      </c>
      <c r="BV27" s="175">
        <f t="shared" si="30"/>
        <v>3.9780000000000002</v>
      </c>
      <c r="BW27" s="177">
        <v>24</v>
      </c>
      <c r="BX27" s="177">
        <v>24</v>
      </c>
      <c r="BZ27" s="177">
        <v>24</v>
      </c>
      <c r="CA27" s="177">
        <v>10.5</v>
      </c>
      <c r="CC27" s="177">
        <v>2.2000000000000002</v>
      </c>
      <c r="CD27" s="177">
        <v>4.2</v>
      </c>
      <c r="CE27" s="177">
        <v>1.8</v>
      </c>
      <c r="CF27" s="177">
        <v>1.5</v>
      </c>
    </row>
    <row r="28" spans="1:84">
      <c r="A28" s="452"/>
      <c r="B28" s="24">
        <v>43208</v>
      </c>
      <c r="C28" s="157">
        <v>84.1</v>
      </c>
      <c r="D28" s="197">
        <v>0.52800000000000002</v>
      </c>
      <c r="E28" s="171">
        <v>66.400000000000006</v>
      </c>
      <c r="F28" s="160">
        <v>96</v>
      </c>
      <c r="G28" s="160">
        <v>70</v>
      </c>
      <c r="H28" s="160">
        <v>24</v>
      </c>
      <c r="I28" s="160">
        <v>0</v>
      </c>
      <c r="J28" s="160">
        <v>24</v>
      </c>
      <c r="K28" s="160">
        <v>0</v>
      </c>
      <c r="L28" s="188">
        <v>0</v>
      </c>
      <c r="M28" s="188">
        <v>0</v>
      </c>
      <c r="N28" s="188">
        <v>0</v>
      </c>
      <c r="O28" s="188">
        <v>0</v>
      </c>
      <c r="P28" s="188">
        <v>24</v>
      </c>
      <c r="Q28" s="262">
        <v>0</v>
      </c>
      <c r="R28" s="257">
        <v>3555</v>
      </c>
      <c r="S28" s="159">
        <v>3489</v>
      </c>
      <c r="T28" s="160">
        <v>3489</v>
      </c>
      <c r="U28" s="160">
        <v>3410</v>
      </c>
      <c r="V28" s="160">
        <v>3520</v>
      </c>
      <c r="W28" s="160">
        <v>44</v>
      </c>
      <c r="X28" s="160">
        <v>0</v>
      </c>
      <c r="Y28" s="160">
        <v>45</v>
      </c>
      <c r="Z28" s="258">
        <v>0</v>
      </c>
      <c r="AA28" s="188">
        <v>58</v>
      </c>
      <c r="AB28" s="188">
        <v>0</v>
      </c>
      <c r="AC28" s="165">
        <f t="shared" si="16"/>
        <v>110</v>
      </c>
      <c r="AD28" s="166">
        <f>U28-T28</f>
        <v>-79</v>
      </c>
      <c r="AE28" s="160">
        <v>149</v>
      </c>
      <c r="AF28" s="167">
        <f t="shared" si="18"/>
        <v>0.98434004474272929</v>
      </c>
      <c r="AG28" s="168">
        <f t="shared" si="19"/>
        <v>148.125</v>
      </c>
      <c r="AH28" s="167">
        <f t="shared" si="20"/>
        <v>0.95921237693389594</v>
      </c>
      <c r="AI28" s="169">
        <f t="shared" si="31"/>
        <v>1</v>
      </c>
      <c r="AJ28" s="170">
        <f t="shared" si="21"/>
        <v>1</v>
      </c>
      <c r="AK28" s="235">
        <v>9.48</v>
      </c>
      <c r="AL28" s="239">
        <v>134.83000000000001</v>
      </c>
      <c r="AM28" s="275">
        <f t="shared" si="22"/>
        <v>1278.1884000000002</v>
      </c>
      <c r="AN28" s="235">
        <v>29.413</v>
      </c>
      <c r="AO28" s="317">
        <v>976</v>
      </c>
      <c r="AP28" s="172">
        <f t="shared" si="23"/>
        <v>28707.088</v>
      </c>
      <c r="AQ28" s="202">
        <f t="shared" si="24"/>
        <v>8793.3361876832842</v>
      </c>
      <c r="AR28" s="199">
        <f t="shared" si="32"/>
        <v>145.375</v>
      </c>
      <c r="AS28" s="13"/>
      <c r="AT28" s="159">
        <v>0</v>
      </c>
      <c r="AU28" s="174">
        <v>0</v>
      </c>
      <c r="AV28" s="174">
        <v>0</v>
      </c>
      <c r="AW28" s="159">
        <v>0</v>
      </c>
      <c r="AX28" s="174">
        <v>0</v>
      </c>
      <c r="AY28" s="159">
        <v>0</v>
      </c>
      <c r="AZ28" s="159">
        <v>0</v>
      </c>
      <c r="BA28" s="4"/>
      <c r="BB28" s="175">
        <v>1055</v>
      </c>
      <c r="BC28" s="175">
        <v>1075</v>
      </c>
      <c r="BD28" s="175">
        <v>1390</v>
      </c>
      <c r="BE28" s="175">
        <f t="shared" si="26"/>
        <v>20</v>
      </c>
      <c r="BF28" s="175">
        <f t="shared" si="27"/>
        <v>8793.3361876832842</v>
      </c>
      <c r="BG28" s="177">
        <f t="shared" si="28"/>
        <v>57.916666666666664</v>
      </c>
      <c r="BH28" s="191">
        <v>2.0209999999999999</v>
      </c>
      <c r="BI28" s="191">
        <v>2.0209999999999999</v>
      </c>
      <c r="BJ28" s="181">
        <v>28.8</v>
      </c>
      <c r="BK28" s="192">
        <v>27.25</v>
      </c>
      <c r="BL28" s="192">
        <v>21.88</v>
      </c>
      <c r="BM28" s="192">
        <v>27.42</v>
      </c>
      <c r="BN28" s="195">
        <v>989.8</v>
      </c>
      <c r="BO28" s="181">
        <v>50.04</v>
      </c>
      <c r="BP28" s="193">
        <v>0.93759999999999999</v>
      </c>
      <c r="BQ28" s="194">
        <v>96.76</v>
      </c>
      <c r="BR28" s="194">
        <v>86.46</v>
      </c>
      <c r="BS28" s="194">
        <v>12132</v>
      </c>
      <c r="BT28" s="194">
        <v>11759</v>
      </c>
      <c r="BU28" s="51">
        <f t="shared" si="29"/>
        <v>-373</v>
      </c>
      <c r="BV28" s="175">
        <f t="shared" si="30"/>
        <v>4.0419999999999998</v>
      </c>
      <c r="BW28" s="177">
        <v>24</v>
      </c>
      <c r="BX28" s="177">
        <v>24</v>
      </c>
      <c r="BZ28" s="177">
        <v>24</v>
      </c>
      <c r="CA28" s="177">
        <v>5.68</v>
      </c>
      <c r="CC28" s="177">
        <v>2.1</v>
      </c>
      <c r="CD28" s="177">
        <v>4</v>
      </c>
      <c r="CE28" s="177">
        <v>1.7</v>
      </c>
      <c r="CF28" s="177">
        <v>1.6</v>
      </c>
    </row>
    <row r="29" spans="1:84">
      <c r="A29" s="452"/>
      <c r="B29" s="24">
        <v>43209</v>
      </c>
      <c r="C29" s="157">
        <v>85.4</v>
      </c>
      <c r="D29" s="197">
        <v>0.40600000000000003</v>
      </c>
      <c r="E29" s="171">
        <v>62.7</v>
      </c>
      <c r="F29" s="160">
        <v>96</v>
      </c>
      <c r="G29" s="160">
        <v>75</v>
      </c>
      <c r="H29" s="160">
        <v>24</v>
      </c>
      <c r="I29" s="160">
        <v>0</v>
      </c>
      <c r="J29" s="160">
        <v>24</v>
      </c>
      <c r="K29" s="160">
        <v>0</v>
      </c>
      <c r="L29" s="188">
        <v>0</v>
      </c>
      <c r="M29" s="188">
        <v>0</v>
      </c>
      <c r="N29" s="188">
        <v>0</v>
      </c>
      <c r="O29" s="188">
        <v>0</v>
      </c>
      <c r="P29" s="188">
        <v>24</v>
      </c>
      <c r="Q29" s="262">
        <v>0</v>
      </c>
      <c r="R29" s="259">
        <v>3543</v>
      </c>
      <c r="S29" s="159">
        <v>3489</v>
      </c>
      <c r="T29" s="160">
        <v>3489</v>
      </c>
      <c r="U29" s="160">
        <v>3424</v>
      </c>
      <c r="V29" s="160">
        <v>3533</v>
      </c>
      <c r="W29" s="160">
        <v>44</v>
      </c>
      <c r="X29" s="160">
        <v>0</v>
      </c>
      <c r="Y29" s="160">
        <v>45</v>
      </c>
      <c r="Z29" s="188">
        <v>0</v>
      </c>
      <c r="AA29" s="188">
        <v>58</v>
      </c>
      <c r="AB29" s="188">
        <v>0</v>
      </c>
      <c r="AC29" s="165">
        <f t="shared" si="16"/>
        <v>109</v>
      </c>
      <c r="AD29" s="166">
        <f t="shared" si="17"/>
        <v>-65</v>
      </c>
      <c r="AE29" s="160">
        <v>149</v>
      </c>
      <c r="AF29" s="167">
        <f t="shared" si="18"/>
        <v>0.98797539149888147</v>
      </c>
      <c r="AG29" s="168">
        <f t="shared" si="19"/>
        <v>147.625</v>
      </c>
      <c r="AH29" s="167">
        <f t="shared" si="20"/>
        <v>0.9664126446514254</v>
      </c>
      <c r="AI29" s="169">
        <f t="shared" si="31"/>
        <v>1</v>
      </c>
      <c r="AJ29" s="170">
        <f>IF(U29&gt;0,(1440-((X29*W29+AT29*AU29)+(Z29*Y29+AV29*AW29)+(AA29*AB29+AX29*AY29))/(W29+Y29+AA29))/1440,"no data")</f>
        <v>1</v>
      </c>
      <c r="AK29" s="235">
        <v>9.4849999999999994</v>
      </c>
      <c r="AL29" s="239">
        <v>135.83000000000001</v>
      </c>
      <c r="AM29" s="275">
        <f t="shared" si="22"/>
        <v>1288.34755</v>
      </c>
      <c r="AN29" s="235">
        <v>29.375</v>
      </c>
      <c r="AO29" s="317">
        <v>977.46</v>
      </c>
      <c r="AP29" s="172">
        <f t="shared" si="23"/>
        <v>28712.887500000001</v>
      </c>
      <c r="AQ29" s="202">
        <f t="shared" si="24"/>
        <v>8762.0429468457933</v>
      </c>
      <c r="AR29" s="199">
        <f t="shared" si="32"/>
        <v>145.375</v>
      </c>
      <c r="AS29" s="13"/>
      <c r="AT29" s="159">
        <v>0</v>
      </c>
      <c r="AU29" s="174">
        <v>0</v>
      </c>
      <c r="AV29" s="174">
        <v>0</v>
      </c>
      <c r="AW29" s="159">
        <v>0</v>
      </c>
      <c r="AX29" s="174">
        <v>0</v>
      </c>
      <c r="AY29" s="159">
        <v>0</v>
      </c>
      <c r="AZ29" s="159">
        <v>0</v>
      </c>
      <c r="BA29" s="4"/>
      <c r="BB29" s="175">
        <v>1063</v>
      </c>
      <c r="BC29" s="175">
        <v>1080</v>
      </c>
      <c r="BD29" s="175">
        <v>1390</v>
      </c>
      <c r="BE29" s="175">
        <f t="shared" si="26"/>
        <v>17</v>
      </c>
      <c r="BF29" s="175">
        <f t="shared" si="27"/>
        <v>8762.0429468457933</v>
      </c>
      <c r="BG29" s="177">
        <f t="shared" si="28"/>
        <v>57.916666666666664</v>
      </c>
      <c r="BH29" s="191">
        <v>1.9730000000000001</v>
      </c>
      <c r="BI29" s="155">
        <v>1.9730000000000001</v>
      </c>
      <c r="BJ29" s="260">
        <v>28.8</v>
      </c>
      <c r="BK29" s="181">
        <v>27.29</v>
      </c>
      <c r="BL29" s="192">
        <v>21.97</v>
      </c>
      <c r="BM29" s="195">
        <v>27.04</v>
      </c>
      <c r="BN29" s="192">
        <v>986.25</v>
      </c>
      <c r="BO29" s="192">
        <v>50.02</v>
      </c>
      <c r="BP29" s="193">
        <v>0.9375</v>
      </c>
      <c r="BQ29" s="194">
        <v>96.26</v>
      </c>
      <c r="BR29" s="181">
        <v>86.22</v>
      </c>
      <c r="BS29" s="194">
        <v>12052</v>
      </c>
      <c r="BT29" s="175">
        <v>12058</v>
      </c>
      <c r="BU29" s="51">
        <f t="shared" si="29"/>
        <v>6</v>
      </c>
      <c r="BV29" s="175">
        <f t="shared" si="30"/>
        <v>3.9460000000000002</v>
      </c>
      <c r="BW29" s="177">
        <v>24</v>
      </c>
      <c r="BX29" s="177">
        <v>24</v>
      </c>
      <c r="BZ29" s="177">
        <v>24</v>
      </c>
      <c r="CA29" s="177">
        <v>9.75</v>
      </c>
      <c r="CC29" s="177">
        <v>2.1</v>
      </c>
      <c r="CD29" s="177">
        <v>4</v>
      </c>
      <c r="CE29" s="177">
        <v>1.8</v>
      </c>
      <c r="CF29" s="177">
        <v>1.7</v>
      </c>
    </row>
    <row r="30" spans="1:84">
      <c r="A30" s="452"/>
      <c r="B30" s="24">
        <v>43210</v>
      </c>
      <c r="C30" s="157">
        <v>75.099999999999994</v>
      </c>
      <c r="D30" s="197">
        <v>0.57299999999999995</v>
      </c>
      <c r="E30" s="171">
        <v>60.1</v>
      </c>
      <c r="F30" s="160">
        <v>87</v>
      </c>
      <c r="G30" s="160">
        <v>64</v>
      </c>
      <c r="H30" s="160">
        <v>24</v>
      </c>
      <c r="I30" s="160">
        <v>0</v>
      </c>
      <c r="J30" s="160">
        <v>24</v>
      </c>
      <c r="K30" s="160">
        <v>0</v>
      </c>
      <c r="L30" s="187">
        <v>0</v>
      </c>
      <c r="M30" s="187">
        <v>0</v>
      </c>
      <c r="N30" s="187">
        <v>0</v>
      </c>
      <c r="O30" s="187">
        <v>0</v>
      </c>
      <c r="P30" s="187">
        <v>22</v>
      </c>
      <c r="Q30" s="262">
        <v>21</v>
      </c>
      <c r="R30" s="257">
        <v>3646</v>
      </c>
      <c r="S30" s="262">
        <v>3539</v>
      </c>
      <c r="T30" s="160">
        <v>3525</v>
      </c>
      <c r="U30" s="160">
        <v>3463</v>
      </c>
      <c r="V30" s="160">
        <v>3569</v>
      </c>
      <c r="W30" s="160">
        <v>45</v>
      </c>
      <c r="X30" s="160">
        <v>0</v>
      </c>
      <c r="Y30" s="160">
        <v>46</v>
      </c>
      <c r="Z30" s="187">
        <v>0</v>
      </c>
      <c r="AA30" s="187">
        <v>58</v>
      </c>
      <c r="AB30" s="187">
        <v>0</v>
      </c>
      <c r="AC30" s="165">
        <f t="shared" si="16"/>
        <v>106</v>
      </c>
      <c r="AD30" s="166">
        <f t="shared" si="17"/>
        <v>-62</v>
      </c>
      <c r="AE30" s="160">
        <v>152</v>
      </c>
      <c r="AF30" s="167">
        <f t="shared" si="18"/>
        <v>0.97834429824561409</v>
      </c>
      <c r="AG30" s="168">
        <f t="shared" si="19"/>
        <v>151.91666666666666</v>
      </c>
      <c r="AH30" s="167">
        <f t="shared" si="20"/>
        <v>0.94980800877674165</v>
      </c>
      <c r="AI30" s="169">
        <f t="shared" si="31"/>
        <v>1</v>
      </c>
      <c r="AJ30" s="170">
        <f t="shared" si="21"/>
        <v>0.99354026845637577</v>
      </c>
      <c r="AK30" s="235">
        <v>9.49</v>
      </c>
      <c r="AL30" s="239">
        <v>136.83000000000001</v>
      </c>
      <c r="AM30" s="171">
        <f t="shared" si="22"/>
        <v>1298.5167000000001</v>
      </c>
      <c r="AN30" s="235">
        <v>29.45</v>
      </c>
      <c r="AO30" s="318">
        <v>979.79</v>
      </c>
      <c r="AP30" s="172">
        <f t="shared" si="23"/>
        <v>28854.815499999997</v>
      </c>
      <c r="AQ30" s="202">
        <f t="shared" si="24"/>
        <v>8707.2862258157656</v>
      </c>
      <c r="AR30" s="199">
        <f t="shared" si="32"/>
        <v>147.45833333333334</v>
      </c>
      <c r="AS30" s="13"/>
      <c r="AT30" s="159">
        <v>0</v>
      </c>
      <c r="AU30" s="174">
        <v>0</v>
      </c>
      <c r="AV30" s="174">
        <v>0</v>
      </c>
      <c r="AW30" s="159">
        <v>0</v>
      </c>
      <c r="AX30" s="174">
        <v>14</v>
      </c>
      <c r="AY30" s="159">
        <v>99</v>
      </c>
      <c r="AZ30" s="159">
        <v>0</v>
      </c>
      <c r="BA30" s="4"/>
      <c r="BB30" s="175">
        <v>1084</v>
      </c>
      <c r="BC30" s="175">
        <v>1105</v>
      </c>
      <c r="BD30" s="175">
        <v>1380</v>
      </c>
      <c r="BE30" s="175">
        <f t="shared" si="26"/>
        <v>21</v>
      </c>
      <c r="BF30" s="175">
        <f t="shared" si="27"/>
        <v>8707.2862258157656</v>
      </c>
      <c r="BG30" s="177">
        <f t="shared" si="28"/>
        <v>57.5</v>
      </c>
      <c r="BH30" s="191">
        <v>1.859</v>
      </c>
      <c r="BI30" s="155">
        <v>1.855</v>
      </c>
      <c r="BJ30" s="181">
        <v>28.8</v>
      </c>
      <c r="BK30" s="192">
        <v>27.57</v>
      </c>
      <c r="BL30" s="192">
        <v>22.27</v>
      </c>
      <c r="BM30" s="192">
        <v>27.51</v>
      </c>
      <c r="BN30" s="192">
        <v>984.38</v>
      </c>
      <c r="BO30" s="181">
        <v>50.08</v>
      </c>
      <c r="BP30" s="193">
        <v>0.93669999999999998</v>
      </c>
      <c r="BQ30" s="194">
        <v>96.46</v>
      </c>
      <c r="BR30" s="181">
        <v>86.1</v>
      </c>
      <c r="BS30" s="194">
        <v>11954</v>
      </c>
      <c r="BT30" s="175">
        <v>11592</v>
      </c>
      <c r="BU30" s="51">
        <f t="shared" si="29"/>
        <v>-362</v>
      </c>
      <c r="BV30" s="175">
        <f t="shared" si="30"/>
        <v>3.714</v>
      </c>
      <c r="BW30" s="177">
        <v>24</v>
      </c>
      <c r="BX30" s="177">
        <v>24</v>
      </c>
      <c r="BZ30" s="177">
        <v>24</v>
      </c>
      <c r="CA30" s="177">
        <v>5.62</v>
      </c>
      <c r="CC30" s="177">
        <v>2.1</v>
      </c>
      <c r="CD30" s="177">
        <v>4.2</v>
      </c>
      <c r="CE30" s="177">
        <v>1.8</v>
      </c>
      <c r="CF30" s="177">
        <v>1.7</v>
      </c>
    </row>
    <row r="31" spans="1:84">
      <c r="A31" s="452"/>
      <c r="B31" s="24">
        <v>43211</v>
      </c>
      <c r="C31" s="157">
        <v>74.900000000000006</v>
      </c>
      <c r="D31" s="197">
        <v>0.52690000000000003</v>
      </c>
      <c r="E31" s="171">
        <v>59.36</v>
      </c>
      <c r="F31" s="159">
        <v>87</v>
      </c>
      <c r="G31" s="159">
        <v>62</v>
      </c>
      <c r="H31" s="160">
        <v>24</v>
      </c>
      <c r="I31" s="160">
        <v>0</v>
      </c>
      <c r="J31" s="160">
        <v>24</v>
      </c>
      <c r="K31" s="160">
        <v>0</v>
      </c>
      <c r="L31" s="187">
        <v>0</v>
      </c>
      <c r="M31" s="187">
        <v>0</v>
      </c>
      <c r="N31" s="187">
        <v>0</v>
      </c>
      <c r="O31" s="187">
        <v>0</v>
      </c>
      <c r="P31" s="187">
        <v>24</v>
      </c>
      <c r="Q31" s="262">
        <v>0</v>
      </c>
      <c r="R31" s="259">
        <v>3634</v>
      </c>
      <c r="S31" s="262">
        <v>3551</v>
      </c>
      <c r="T31" s="159">
        <v>3551</v>
      </c>
      <c r="U31" s="159">
        <v>3473</v>
      </c>
      <c r="V31" s="160">
        <v>3581</v>
      </c>
      <c r="W31" s="160">
        <v>45</v>
      </c>
      <c r="X31" s="160">
        <v>0</v>
      </c>
      <c r="Y31" s="160">
        <v>46</v>
      </c>
      <c r="Z31" s="187">
        <v>0</v>
      </c>
      <c r="AA31" s="187">
        <v>58</v>
      </c>
      <c r="AB31" s="187">
        <v>0</v>
      </c>
      <c r="AC31" s="165">
        <f t="shared" si="16"/>
        <v>108</v>
      </c>
      <c r="AD31" s="166">
        <f t="shared" si="17"/>
        <v>-78</v>
      </c>
      <c r="AE31" s="160">
        <v>152</v>
      </c>
      <c r="AF31" s="167">
        <f t="shared" si="18"/>
        <v>0.98163377192982459</v>
      </c>
      <c r="AG31" s="168">
        <f t="shared" si="19"/>
        <v>151.41666666666666</v>
      </c>
      <c r="AH31" s="167">
        <f t="shared" si="20"/>
        <v>0.95569620253164556</v>
      </c>
      <c r="AI31" s="169">
        <f t="shared" si="31"/>
        <v>1</v>
      </c>
      <c r="AJ31" s="170">
        <f t="shared" si="21"/>
        <v>1</v>
      </c>
      <c r="AK31" s="235">
        <v>9.44</v>
      </c>
      <c r="AL31" s="239">
        <v>134.22999999999999</v>
      </c>
      <c r="AM31" s="171">
        <f t="shared" si="22"/>
        <v>1267.1311999999998</v>
      </c>
      <c r="AN31" s="235">
        <v>29.574000000000002</v>
      </c>
      <c r="AO31" s="318">
        <v>977.58</v>
      </c>
      <c r="AP31" s="172">
        <f t="shared" si="23"/>
        <v>28910.950920000003</v>
      </c>
      <c r="AQ31" s="202">
        <f t="shared" si="24"/>
        <v>8689.3412381226626</v>
      </c>
      <c r="AR31" s="199">
        <f t="shared" ref="AR31:AR39" si="33">IF(S31&gt;0,S31/24, "no data")</f>
        <v>147.95833333333334</v>
      </c>
      <c r="AS31" s="13"/>
      <c r="AT31" s="159">
        <v>0</v>
      </c>
      <c r="AU31" s="174">
        <v>0</v>
      </c>
      <c r="AV31" s="159">
        <v>0</v>
      </c>
      <c r="AW31" s="159">
        <v>0</v>
      </c>
      <c r="AX31" s="174">
        <v>0</v>
      </c>
      <c r="AY31" s="159">
        <v>0</v>
      </c>
      <c r="AZ31" s="159">
        <v>0</v>
      </c>
      <c r="BA31" s="4"/>
      <c r="BB31" s="175">
        <v>1089</v>
      </c>
      <c r="BC31" s="175">
        <v>1111</v>
      </c>
      <c r="BD31" s="175">
        <v>1381</v>
      </c>
      <c r="BE31" s="175">
        <f t="shared" si="26"/>
        <v>22</v>
      </c>
      <c r="BF31" s="175">
        <f t="shared" si="27"/>
        <v>8689.3412381226626</v>
      </c>
      <c r="BG31" s="177">
        <f t="shared" si="28"/>
        <v>57.541666666666664</v>
      </c>
      <c r="BH31" s="191">
        <v>1.8129999999999999</v>
      </c>
      <c r="BI31" s="155">
        <v>1.8129999999999999</v>
      </c>
      <c r="BJ31" s="181">
        <v>28.83</v>
      </c>
      <c r="BK31" s="192">
        <v>27.76</v>
      </c>
      <c r="BL31" s="192">
        <v>22.41</v>
      </c>
      <c r="BM31" s="192">
        <v>27.39</v>
      </c>
      <c r="BN31" s="192">
        <v>991</v>
      </c>
      <c r="BO31" s="192">
        <v>50.08</v>
      </c>
      <c r="BP31" s="193">
        <v>0.93779999999999997</v>
      </c>
      <c r="BQ31" s="192">
        <v>96.31</v>
      </c>
      <c r="BR31" s="181">
        <v>86.18</v>
      </c>
      <c r="BS31" s="175">
        <v>11978</v>
      </c>
      <c r="BT31" s="175">
        <v>11588</v>
      </c>
      <c r="BU31" s="51">
        <f t="shared" si="29"/>
        <v>-390</v>
      </c>
      <c r="BV31" s="175">
        <f t="shared" si="30"/>
        <v>3.6259999999999999</v>
      </c>
      <c r="BW31" s="177">
        <v>24</v>
      </c>
      <c r="BX31" s="177">
        <v>24</v>
      </c>
      <c r="BZ31" s="177">
        <v>24</v>
      </c>
      <c r="CA31" s="177">
        <v>8</v>
      </c>
      <c r="CC31" s="177">
        <v>2.1</v>
      </c>
      <c r="CD31" s="177">
        <v>4</v>
      </c>
      <c r="CE31" s="177">
        <v>1.8</v>
      </c>
      <c r="CF31" s="177">
        <v>1.7</v>
      </c>
    </row>
    <row r="32" spans="1:84">
      <c r="A32" s="453"/>
      <c r="B32" s="24">
        <v>43212</v>
      </c>
      <c r="C32" s="157">
        <v>82.9</v>
      </c>
      <c r="D32" s="197">
        <v>0.379</v>
      </c>
      <c r="E32" s="171">
        <v>59.6</v>
      </c>
      <c r="F32" s="159">
        <v>96</v>
      </c>
      <c r="G32" s="159">
        <v>69</v>
      </c>
      <c r="H32" s="160">
        <v>24</v>
      </c>
      <c r="I32" s="160">
        <v>0</v>
      </c>
      <c r="J32" s="160">
        <v>24</v>
      </c>
      <c r="K32" s="160">
        <v>0</v>
      </c>
      <c r="L32" s="187">
        <v>0</v>
      </c>
      <c r="M32" s="187">
        <v>0</v>
      </c>
      <c r="N32" s="187">
        <v>0</v>
      </c>
      <c r="O32" s="187">
        <v>0</v>
      </c>
      <c r="P32" s="187">
        <v>0</v>
      </c>
      <c r="Q32" s="262">
        <v>0</v>
      </c>
      <c r="R32" s="257">
        <v>3563</v>
      </c>
      <c r="S32" s="262">
        <v>3215</v>
      </c>
      <c r="T32" s="262">
        <v>3215</v>
      </c>
      <c r="U32" s="262">
        <v>3139</v>
      </c>
      <c r="V32" s="263">
        <v>3232</v>
      </c>
      <c r="W32" s="160">
        <v>45</v>
      </c>
      <c r="X32" s="160">
        <v>0</v>
      </c>
      <c r="Y32" s="160">
        <v>46</v>
      </c>
      <c r="Z32" s="187">
        <v>0</v>
      </c>
      <c r="AA32" s="187">
        <v>58</v>
      </c>
      <c r="AB32" s="187">
        <v>0</v>
      </c>
      <c r="AC32" s="165">
        <f t="shared" si="16"/>
        <v>93</v>
      </c>
      <c r="AD32" s="166">
        <f t="shared" si="17"/>
        <v>-76</v>
      </c>
      <c r="AE32" s="159">
        <v>137</v>
      </c>
      <c r="AF32" s="167">
        <f t="shared" si="18"/>
        <v>0.98296836982968372</v>
      </c>
      <c r="AG32" s="168">
        <f t="shared" si="19"/>
        <v>148.45833333333334</v>
      </c>
      <c r="AH32" s="167">
        <f t="shared" si="20"/>
        <v>0.88099915801291051</v>
      </c>
      <c r="AI32" s="169">
        <f t="shared" si="31"/>
        <v>1</v>
      </c>
      <c r="AJ32" s="170">
        <f t="shared" si="21"/>
        <v>0.90604026845637575</v>
      </c>
      <c r="AK32" s="235">
        <v>9.5</v>
      </c>
      <c r="AL32" s="239">
        <v>137.16</v>
      </c>
      <c r="AM32" s="171">
        <f t="shared" si="22"/>
        <v>1303.02</v>
      </c>
      <c r="AN32" s="235">
        <v>25.698</v>
      </c>
      <c r="AO32" s="318">
        <v>979.37</v>
      </c>
      <c r="AP32" s="172">
        <f t="shared" si="23"/>
        <v>25167.850259999999</v>
      </c>
      <c r="AQ32" s="202">
        <f t="shared" si="24"/>
        <v>8432.8990952532658</v>
      </c>
      <c r="AR32" s="199">
        <f t="shared" si="33"/>
        <v>133.95833333333334</v>
      </c>
      <c r="AS32" s="13"/>
      <c r="AT32" s="159">
        <v>0</v>
      </c>
      <c r="AU32" s="174">
        <v>0</v>
      </c>
      <c r="AV32" s="174">
        <v>0</v>
      </c>
      <c r="AW32" s="159">
        <v>0</v>
      </c>
      <c r="AX32" s="174">
        <v>14</v>
      </c>
      <c r="AY32" s="159">
        <v>1440</v>
      </c>
      <c r="AZ32" s="159">
        <v>0</v>
      </c>
      <c r="BA32" s="4"/>
      <c r="BB32" s="175">
        <v>1081</v>
      </c>
      <c r="BC32" s="175">
        <v>1107</v>
      </c>
      <c r="BD32" s="175">
        <v>1044</v>
      </c>
      <c r="BE32" s="175">
        <f t="shared" si="26"/>
        <v>26</v>
      </c>
      <c r="BF32" s="175">
        <f t="shared" si="27"/>
        <v>8432.8990952532658</v>
      </c>
      <c r="BG32" s="177">
        <f t="shared" si="28"/>
        <v>43.5</v>
      </c>
      <c r="BH32" s="191">
        <v>0</v>
      </c>
      <c r="BI32" s="155">
        <v>0</v>
      </c>
      <c r="BJ32" s="181">
        <v>28.8</v>
      </c>
      <c r="BK32" s="192">
        <v>27.52</v>
      </c>
      <c r="BL32" s="192">
        <v>22.31</v>
      </c>
      <c r="BM32" s="192">
        <v>27.31</v>
      </c>
      <c r="BN32" s="179">
        <v>991.67</v>
      </c>
      <c r="BO32" s="192">
        <v>50.06</v>
      </c>
      <c r="BP32" s="193">
        <v>0.93720000000000003</v>
      </c>
      <c r="BQ32" s="192">
        <v>96.03</v>
      </c>
      <c r="BR32" s="181">
        <v>86.07</v>
      </c>
      <c r="BS32" s="175">
        <v>11956</v>
      </c>
      <c r="BT32" s="175">
        <v>11590</v>
      </c>
      <c r="BU32" s="51">
        <f t="shared" si="29"/>
        <v>-366</v>
      </c>
      <c r="BV32" s="175">
        <f t="shared" si="30"/>
        <v>0</v>
      </c>
      <c r="BW32" s="177">
        <v>0</v>
      </c>
      <c r="BX32" s="177">
        <v>0</v>
      </c>
      <c r="BZ32" s="177">
        <v>24</v>
      </c>
      <c r="CA32" s="177">
        <v>7.3</v>
      </c>
      <c r="CC32" s="177">
        <v>2.1</v>
      </c>
      <c r="CD32" s="177">
        <v>4</v>
      </c>
      <c r="CE32" s="177">
        <v>1.8</v>
      </c>
      <c r="CF32" s="177">
        <v>1.65</v>
      </c>
    </row>
    <row r="33" spans="1:84">
      <c r="A33" s="451" t="s">
        <v>180</v>
      </c>
      <c r="B33" s="24">
        <v>43213</v>
      </c>
      <c r="C33" s="280">
        <v>86.8</v>
      </c>
      <c r="D33" s="281">
        <v>0.36199999999999999</v>
      </c>
      <c r="E33" s="282">
        <v>60.4</v>
      </c>
      <c r="F33" s="223">
        <v>101</v>
      </c>
      <c r="G33" s="223">
        <v>72</v>
      </c>
      <c r="H33" s="283">
        <v>24</v>
      </c>
      <c r="I33" s="283">
        <v>0</v>
      </c>
      <c r="J33" s="283">
        <v>24</v>
      </c>
      <c r="K33" s="283">
        <v>0</v>
      </c>
      <c r="L33" s="284">
        <v>0</v>
      </c>
      <c r="M33" s="284">
        <v>0</v>
      </c>
      <c r="N33" s="284">
        <v>0</v>
      </c>
      <c r="O33" s="284">
        <v>0</v>
      </c>
      <c r="P33" s="284">
        <v>13</v>
      </c>
      <c r="Q33" s="286">
        <v>0</v>
      </c>
      <c r="R33" s="285">
        <v>3525</v>
      </c>
      <c r="S33" s="286">
        <v>3340</v>
      </c>
      <c r="T33" s="286">
        <v>3340</v>
      </c>
      <c r="U33" s="286">
        <v>3268</v>
      </c>
      <c r="V33" s="287">
        <v>3370</v>
      </c>
      <c r="W33" s="283">
        <v>45</v>
      </c>
      <c r="X33" s="283">
        <v>0</v>
      </c>
      <c r="Y33" s="283">
        <v>46</v>
      </c>
      <c r="Z33" s="288">
        <v>0</v>
      </c>
      <c r="AA33" s="288">
        <v>58</v>
      </c>
      <c r="AB33" s="284">
        <v>0</v>
      </c>
      <c r="AC33" s="221">
        <f t="shared" si="16"/>
        <v>102</v>
      </c>
      <c r="AD33" s="222">
        <f t="shared" si="17"/>
        <v>-72</v>
      </c>
      <c r="AE33" s="223">
        <v>150</v>
      </c>
      <c r="AF33" s="224">
        <f t="shared" ref="AF33:AF39" si="34">IF(AE33&gt;0, V33/(AE33*24),"no data")</f>
        <v>0.93611111111111112</v>
      </c>
      <c r="AG33" s="225">
        <f t="shared" ref="AG33:AG39" si="35">IF(R33&gt;0,R33/24,"no data")</f>
        <v>146.875</v>
      </c>
      <c r="AH33" s="224">
        <f t="shared" ref="AH33:AH39" si="36">IF(U33&gt;0,(U33/R33),"no data")</f>
        <v>0.92709219858156033</v>
      </c>
      <c r="AI33" s="226">
        <f t="shared" ref="AI33:AI39" si="37">IF(U33&gt;0,(1440-((W33*X33)+(Y33*Z33)+(AA33*AB33))/(W33+Y33+AA33))/1440,"no data")</f>
        <v>1</v>
      </c>
      <c r="AJ33" s="227">
        <f t="shared" ref="AJ33:AJ39" si="38">IF(U33&gt;0,(1440-((X33*W33+AT33*AU33)+(Z33*Y33+AV33*AW33)+(AA33*AB33+AX33*AY33))/(W33+Y33+AA33))/1440,"no data")</f>
        <v>0.95693512304250561</v>
      </c>
      <c r="AK33" s="235">
        <v>9.51</v>
      </c>
      <c r="AL33" s="239">
        <v>137.63999999999999</v>
      </c>
      <c r="AM33" s="282">
        <f t="shared" si="22"/>
        <v>1308.9563999999998</v>
      </c>
      <c r="AN33" s="235">
        <v>27.132999999999999</v>
      </c>
      <c r="AO33" s="318">
        <v>984.64</v>
      </c>
      <c r="AP33" s="290">
        <f t="shared" ref="AP33:AP40" si="39">AN33*AO33</f>
        <v>26716.237119999998</v>
      </c>
      <c r="AQ33" s="228">
        <f t="shared" ref="AQ33:AQ40" si="40">IF(U33&gt;0,((((AK33*AL33)+(AN33*AO33))/(U33*1000))*1000000),"no data")</f>
        <v>8575.6406119951025</v>
      </c>
      <c r="AR33" s="229">
        <f t="shared" si="33"/>
        <v>139.16666666666666</v>
      </c>
      <c r="AS33" s="291"/>
      <c r="AT33" s="223">
        <v>0</v>
      </c>
      <c r="AU33" s="292">
        <v>0</v>
      </c>
      <c r="AV33" s="292">
        <v>0</v>
      </c>
      <c r="AW33" s="223">
        <v>0</v>
      </c>
      <c r="AX33" s="292">
        <v>14</v>
      </c>
      <c r="AY33" s="223">
        <v>660</v>
      </c>
      <c r="AZ33" s="223">
        <v>0</v>
      </c>
      <c r="BA33" s="293"/>
      <c r="BB33" s="242">
        <v>1072</v>
      </c>
      <c r="BC33" s="242">
        <v>1099</v>
      </c>
      <c r="BD33" s="242">
        <v>1199</v>
      </c>
      <c r="BE33" s="242">
        <f t="shared" si="26"/>
        <v>27</v>
      </c>
      <c r="BF33" s="242">
        <f t="shared" si="27"/>
        <v>8575.6406119951025</v>
      </c>
      <c r="BG33" s="294">
        <f t="shared" si="28"/>
        <v>49.958333333333336</v>
      </c>
      <c r="BH33" s="295">
        <v>0.88600000000000001</v>
      </c>
      <c r="BI33" s="296">
        <v>0.88600000000000001</v>
      </c>
      <c r="BJ33" s="297">
        <v>27.71</v>
      </c>
      <c r="BK33" s="298">
        <v>27.14</v>
      </c>
      <c r="BL33" s="298">
        <v>21.97</v>
      </c>
      <c r="BM33" s="298">
        <v>27.42</v>
      </c>
      <c r="BN33" s="299">
        <v>988.63</v>
      </c>
      <c r="BO33" s="298">
        <v>50.08</v>
      </c>
      <c r="BP33" s="300">
        <v>0.93700000000000006</v>
      </c>
      <c r="BQ33" s="298">
        <v>95.36</v>
      </c>
      <c r="BR33" s="297">
        <v>86.07</v>
      </c>
      <c r="BS33" s="242">
        <v>11909</v>
      </c>
      <c r="BT33" s="242">
        <v>11545</v>
      </c>
      <c r="BU33" s="301">
        <f t="shared" si="29"/>
        <v>-364</v>
      </c>
      <c r="BV33" s="242">
        <f t="shared" si="30"/>
        <v>1.772</v>
      </c>
      <c r="BW33" s="302">
        <v>13</v>
      </c>
      <c r="BX33" s="302">
        <v>13</v>
      </c>
      <c r="BZ33" s="302">
        <v>24</v>
      </c>
      <c r="CA33" s="302">
        <v>6.9</v>
      </c>
      <c r="CC33" s="302">
        <v>2.1</v>
      </c>
      <c r="CD33" s="302">
        <v>4</v>
      </c>
      <c r="CE33" s="302">
        <v>1.8</v>
      </c>
      <c r="CF33" s="302">
        <v>1.65</v>
      </c>
    </row>
    <row r="34" spans="1:84">
      <c r="A34" s="452"/>
      <c r="B34" s="24">
        <v>43214</v>
      </c>
      <c r="C34" s="280">
        <v>90.1</v>
      </c>
      <c r="D34" s="281">
        <v>0.30599999999999999</v>
      </c>
      <c r="E34" s="282">
        <v>61</v>
      </c>
      <c r="F34" s="223">
        <v>106</v>
      </c>
      <c r="G34" s="223">
        <v>73</v>
      </c>
      <c r="H34" s="283">
        <v>21</v>
      </c>
      <c r="I34" s="283">
        <v>54</v>
      </c>
      <c r="J34" s="283">
        <v>22</v>
      </c>
      <c r="K34" s="283">
        <v>8</v>
      </c>
      <c r="L34" s="284">
        <v>0</v>
      </c>
      <c r="M34" s="284">
        <v>0</v>
      </c>
      <c r="N34" s="284">
        <v>0</v>
      </c>
      <c r="O34" s="284">
        <v>0</v>
      </c>
      <c r="P34" s="284">
        <v>21</v>
      </c>
      <c r="Q34" s="286">
        <v>14</v>
      </c>
      <c r="R34" s="285">
        <v>3492</v>
      </c>
      <c r="S34" s="286">
        <v>3485</v>
      </c>
      <c r="T34" s="286">
        <v>3485</v>
      </c>
      <c r="U34" s="286">
        <v>3139</v>
      </c>
      <c r="V34" s="287">
        <v>3240</v>
      </c>
      <c r="W34" s="283">
        <v>44</v>
      </c>
      <c r="X34" s="283">
        <v>105</v>
      </c>
      <c r="Y34" s="283">
        <v>45</v>
      </c>
      <c r="Z34" s="288">
        <v>79</v>
      </c>
      <c r="AA34" s="288">
        <v>58</v>
      </c>
      <c r="AB34" s="284">
        <v>128</v>
      </c>
      <c r="AC34" s="221">
        <f t="shared" si="16"/>
        <v>102</v>
      </c>
      <c r="AD34" s="222">
        <f t="shared" si="17"/>
        <v>-346</v>
      </c>
      <c r="AE34" s="223">
        <v>152</v>
      </c>
      <c r="AF34" s="224">
        <f t="shared" si="34"/>
        <v>0.88815789473684215</v>
      </c>
      <c r="AG34" s="225">
        <f t="shared" si="35"/>
        <v>145.5</v>
      </c>
      <c r="AH34" s="224">
        <f t="shared" si="36"/>
        <v>0.8989117983963345</v>
      </c>
      <c r="AI34" s="226">
        <f t="shared" si="37"/>
        <v>0.92630857898715047</v>
      </c>
      <c r="AJ34" s="227">
        <f t="shared" si="38"/>
        <v>0.91806027966742254</v>
      </c>
      <c r="AK34" s="235">
        <v>8.7609999999999992</v>
      </c>
      <c r="AL34" s="239">
        <v>136.99</v>
      </c>
      <c r="AM34" s="282">
        <f t="shared" si="22"/>
        <v>1200.16939</v>
      </c>
      <c r="AN34" s="235">
        <v>26.865300000000001</v>
      </c>
      <c r="AO34" s="318">
        <v>985.4</v>
      </c>
      <c r="AP34" s="290">
        <f t="shared" si="39"/>
        <v>26473.066620000001</v>
      </c>
      <c r="AQ34" s="228">
        <f t="shared" si="40"/>
        <v>8815.9401115004785</v>
      </c>
      <c r="AR34" s="229">
        <f t="shared" si="33"/>
        <v>145.20833333333334</v>
      </c>
      <c r="AS34" s="291"/>
      <c r="AT34" s="223">
        <v>20</v>
      </c>
      <c r="AU34" s="292">
        <v>21</v>
      </c>
      <c r="AV34" s="292">
        <v>16</v>
      </c>
      <c r="AW34" s="223">
        <v>33</v>
      </c>
      <c r="AX34" s="292">
        <v>21</v>
      </c>
      <c r="AY34" s="223">
        <v>38</v>
      </c>
      <c r="AZ34" s="223">
        <v>1</v>
      </c>
      <c r="BA34" s="293"/>
      <c r="BB34" s="242">
        <v>973</v>
      </c>
      <c r="BC34" s="242">
        <v>1023</v>
      </c>
      <c r="BD34" s="242">
        <v>1244</v>
      </c>
      <c r="BE34" s="242">
        <f t="shared" si="26"/>
        <v>50</v>
      </c>
      <c r="BF34" s="242">
        <f t="shared" si="27"/>
        <v>8815.9401115004785</v>
      </c>
      <c r="BG34" s="294">
        <f t="shared" si="28"/>
        <v>51.833333333333336</v>
      </c>
      <c r="BH34" s="295">
        <v>1.6359999999999999</v>
      </c>
      <c r="BI34" s="296">
        <v>1.6359999999999999</v>
      </c>
      <c r="BJ34" s="297">
        <v>26.9</v>
      </c>
      <c r="BK34" s="298">
        <v>24.84</v>
      </c>
      <c r="BL34" s="298">
        <v>20.55</v>
      </c>
      <c r="BM34" s="298">
        <v>26.72</v>
      </c>
      <c r="BN34" s="299">
        <v>985.8</v>
      </c>
      <c r="BO34" s="298">
        <v>50.05</v>
      </c>
      <c r="BP34" s="300">
        <v>0.93759999999999999</v>
      </c>
      <c r="BQ34" s="298">
        <v>94.86</v>
      </c>
      <c r="BR34" s="297">
        <v>85.99</v>
      </c>
      <c r="BS34" s="242">
        <v>11902</v>
      </c>
      <c r="BT34" s="242">
        <v>11531</v>
      </c>
      <c r="BU34" s="301">
        <f t="shared" si="29"/>
        <v>-371</v>
      </c>
      <c r="BV34" s="242">
        <f t="shared" si="30"/>
        <v>3.2719999999999998</v>
      </c>
      <c r="BW34" s="302">
        <v>21.58</v>
      </c>
      <c r="BX34" s="302">
        <v>21.43</v>
      </c>
      <c r="BZ34" s="302">
        <v>20.92</v>
      </c>
      <c r="CA34" s="302">
        <v>5.55</v>
      </c>
      <c r="CC34" s="302">
        <v>2.2000000000000002</v>
      </c>
      <c r="CD34" s="302">
        <v>3.8</v>
      </c>
      <c r="CE34" s="302">
        <v>1.8</v>
      </c>
      <c r="CF34" s="302">
        <v>1.6</v>
      </c>
    </row>
    <row r="35" spans="1:84">
      <c r="A35" s="452"/>
      <c r="B35" s="24">
        <v>43215</v>
      </c>
      <c r="C35" s="280">
        <v>90</v>
      </c>
      <c r="D35" s="281">
        <v>0.33</v>
      </c>
      <c r="E35" s="282">
        <v>63</v>
      </c>
      <c r="F35" s="223">
        <v>104</v>
      </c>
      <c r="G35" s="223">
        <v>78</v>
      </c>
      <c r="H35" s="283">
        <v>24</v>
      </c>
      <c r="I35" s="283">
        <v>0</v>
      </c>
      <c r="J35" s="283">
        <v>24</v>
      </c>
      <c r="K35" s="283">
        <v>0</v>
      </c>
      <c r="L35" s="284">
        <v>0</v>
      </c>
      <c r="M35" s="284">
        <v>0</v>
      </c>
      <c r="N35" s="284">
        <v>0</v>
      </c>
      <c r="O35" s="284">
        <v>0</v>
      </c>
      <c r="P35" s="284">
        <v>24</v>
      </c>
      <c r="Q35" s="286">
        <v>0</v>
      </c>
      <c r="R35" s="285">
        <v>3492</v>
      </c>
      <c r="S35" s="286">
        <v>3484</v>
      </c>
      <c r="T35" s="286">
        <v>3484</v>
      </c>
      <c r="U35" s="286">
        <v>3420</v>
      </c>
      <c r="V35" s="287">
        <v>3533</v>
      </c>
      <c r="W35" s="283">
        <v>44</v>
      </c>
      <c r="X35" s="283">
        <v>0</v>
      </c>
      <c r="Y35" s="283">
        <v>45</v>
      </c>
      <c r="Z35" s="288">
        <v>0</v>
      </c>
      <c r="AA35" s="288">
        <v>59</v>
      </c>
      <c r="AB35" s="284">
        <v>0</v>
      </c>
      <c r="AC35" s="221">
        <f t="shared" si="16"/>
        <v>113</v>
      </c>
      <c r="AD35" s="222">
        <f t="shared" si="17"/>
        <v>-64</v>
      </c>
      <c r="AE35" s="223">
        <v>151</v>
      </c>
      <c r="AF35" s="224">
        <f t="shared" si="34"/>
        <v>0.97488962472406182</v>
      </c>
      <c r="AG35" s="225">
        <f t="shared" si="35"/>
        <v>145.5</v>
      </c>
      <c r="AH35" s="224">
        <f t="shared" si="36"/>
        <v>0.97938144329896903</v>
      </c>
      <c r="AI35" s="226">
        <f t="shared" si="37"/>
        <v>1</v>
      </c>
      <c r="AJ35" s="227">
        <f t="shared" si="38"/>
        <v>1</v>
      </c>
      <c r="AK35" s="235">
        <v>9.5250000000000004</v>
      </c>
      <c r="AL35" s="239">
        <v>136.87</v>
      </c>
      <c r="AM35" s="282">
        <f t="shared" si="22"/>
        <v>1303.6867500000001</v>
      </c>
      <c r="AN35" s="235">
        <v>29.363130000000002</v>
      </c>
      <c r="AO35" s="318">
        <v>984.85312516480099</v>
      </c>
      <c r="AP35" s="290">
        <f t="shared" si="39"/>
        <v>28918.370345120326</v>
      </c>
      <c r="AQ35" s="228">
        <f t="shared" si="40"/>
        <v>8836.8587997427858</v>
      </c>
      <c r="AR35" s="229">
        <f t="shared" si="33"/>
        <v>145.16666666666666</v>
      </c>
      <c r="AS35" s="291"/>
      <c r="AT35" s="223">
        <v>0</v>
      </c>
      <c r="AU35" s="292">
        <v>0</v>
      </c>
      <c r="AV35" s="292">
        <v>0</v>
      </c>
      <c r="AW35" s="223">
        <v>0</v>
      </c>
      <c r="AX35" s="292">
        <v>0</v>
      </c>
      <c r="AY35" s="223">
        <v>0</v>
      </c>
      <c r="AZ35" s="223">
        <v>0</v>
      </c>
      <c r="BA35" s="293"/>
      <c r="BB35" s="242">
        <v>1049</v>
      </c>
      <c r="BC35" s="242">
        <v>1074</v>
      </c>
      <c r="BD35" s="242">
        <v>1410</v>
      </c>
      <c r="BE35" s="242">
        <f t="shared" si="26"/>
        <v>25</v>
      </c>
      <c r="BF35" s="242">
        <f t="shared" si="27"/>
        <v>8836.8587997427858</v>
      </c>
      <c r="BG35" s="294">
        <f t="shared" si="28"/>
        <v>58.75</v>
      </c>
      <c r="BH35" s="295">
        <v>2.0760000000000001</v>
      </c>
      <c r="BI35" s="296">
        <v>2.0760000000000001</v>
      </c>
      <c r="BJ35" s="297">
        <v>27</v>
      </c>
      <c r="BK35" s="298">
        <v>26.72</v>
      </c>
      <c r="BL35" s="298">
        <v>21.61</v>
      </c>
      <c r="BM35" s="298">
        <v>27.2</v>
      </c>
      <c r="BN35" s="299">
        <v>984.3</v>
      </c>
      <c r="BO35" s="298">
        <v>50.07</v>
      </c>
      <c r="BP35" s="300">
        <v>0.93759999999999999</v>
      </c>
      <c r="BQ35" s="298">
        <v>95.19</v>
      </c>
      <c r="BR35" s="297">
        <v>86.06</v>
      </c>
      <c r="BS35" s="242">
        <v>11969</v>
      </c>
      <c r="BT35" s="242">
        <v>11638</v>
      </c>
      <c r="BU35" s="301">
        <f t="shared" si="29"/>
        <v>-331</v>
      </c>
      <c r="BV35" s="242">
        <f t="shared" si="30"/>
        <v>4.1520000000000001</v>
      </c>
      <c r="BW35" s="302">
        <v>24</v>
      </c>
      <c r="BX35" s="302">
        <v>24</v>
      </c>
      <c r="BZ35" s="302">
        <v>24</v>
      </c>
      <c r="CA35" s="302">
        <v>7.6</v>
      </c>
      <c r="CC35" s="302">
        <v>2.2000000000000002</v>
      </c>
      <c r="CD35" s="302">
        <v>4.0999999999999996</v>
      </c>
      <c r="CE35" s="302">
        <v>1.8</v>
      </c>
      <c r="CF35" s="302">
        <v>1.7</v>
      </c>
    </row>
    <row r="36" spans="1:84">
      <c r="A36" s="452"/>
      <c r="B36" s="24">
        <v>43216</v>
      </c>
      <c r="C36" s="280">
        <v>94</v>
      </c>
      <c r="D36" s="281">
        <v>0.33</v>
      </c>
      <c r="E36" s="282">
        <v>65</v>
      </c>
      <c r="F36" s="223">
        <v>107</v>
      </c>
      <c r="G36" s="223">
        <v>79</v>
      </c>
      <c r="H36" s="283">
        <v>24</v>
      </c>
      <c r="I36" s="283">
        <v>0</v>
      </c>
      <c r="J36" s="283">
        <v>24</v>
      </c>
      <c r="K36" s="283">
        <v>0</v>
      </c>
      <c r="L36" s="284">
        <v>0</v>
      </c>
      <c r="M36" s="284">
        <v>0</v>
      </c>
      <c r="N36" s="284">
        <v>0</v>
      </c>
      <c r="O36" s="284">
        <v>0</v>
      </c>
      <c r="P36" s="284">
        <v>24</v>
      </c>
      <c r="Q36" s="286">
        <v>0</v>
      </c>
      <c r="R36" s="285">
        <v>3454</v>
      </c>
      <c r="S36" s="286">
        <v>3455</v>
      </c>
      <c r="T36" s="286">
        <v>3455</v>
      </c>
      <c r="U36" s="286">
        <v>3385</v>
      </c>
      <c r="V36" s="287">
        <v>3498</v>
      </c>
      <c r="W36" s="283">
        <v>43</v>
      </c>
      <c r="X36" s="283">
        <v>0</v>
      </c>
      <c r="Y36" s="283">
        <v>44</v>
      </c>
      <c r="Z36" s="288">
        <v>0</v>
      </c>
      <c r="AA36" s="288">
        <v>58</v>
      </c>
      <c r="AB36" s="284">
        <v>0</v>
      </c>
      <c r="AC36" s="221">
        <f t="shared" si="16"/>
        <v>113</v>
      </c>
      <c r="AD36" s="222">
        <f t="shared" si="17"/>
        <v>-70</v>
      </c>
      <c r="AE36" s="223">
        <v>149</v>
      </c>
      <c r="AF36" s="224">
        <f t="shared" si="34"/>
        <v>0.97818791946308725</v>
      </c>
      <c r="AG36" s="225">
        <f t="shared" si="35"/>
        <v>143.91666666666666</v>
      </c>
      <c r="AH36" s="224">
        <f t="shared" si="36"/>
        <v>0.98002316155182401</v>
      </c>
      <c r="AI36" s="226">
        <f t="shared" si="37"/>
        <v>1</v>
      </c>
      <c r="AJ36" s="227">
        <f t="shared" si="38"/>
        <v>1</v>
      </c>
      <c r="AK36" s="235">
        <v>9.49</v>
      </c>
      <c r="AL36" s="239">
        <v>137.84</v>
      </c>
      <c r="AM36" s="282">
        <f t="shared" si="22"/>
        <v>1308.1016</v>
      </c>
      <c r="AN36" s="235">
        <v>29.120450000000002</v>
      </c>
      <c r="AO36" s="318">
        <v>979.92853819223251</v>
      </c>
      <c r="AP36" s="290">
        <f t="shared" si="39"/>
        <v>28535.96</v>
      </c>
      <c r="AQ36" s="228">
        <f t="shared" si="40"/>
        <v>8816.5617725258489</v>
      </c>
      <c r="AR36" s="229">
        <f t="shared" si="33"/>
        <v>143.95833333333334</v>
      </c>
      <c r="AS36" s="291"/>
      <c r="AT36" s="223">
        <v>0</v>
      </c>
      <c r="AU36" s="292">
        <v>0</v>
      </c>
      <c r="AV36" s="292">
        <v>0</v>
      </c>
      <c r="AW36" s="223">
        <v>0</v>
      </c>
      <c r="AX36" s="292">
        <v>0</v>
      </c>
      <c r="AY36" s="223">
        <v>0</v>
      </c>
      <c r="AZ36" s="223">
        <v>0</v>
      </c>
      <c r="BA36" s="293"/>
      <c r="BB36" s="242">
        <v>1038</v>
      </c>
      <c r="BC36" s="242">
        <v>1064</v>
      </c>
      <c r="BD36" s="242">
        <v>1396</v>
      </c>
      <c r="BE36" s="242">
        <f t="shared" si="26"/>
        <v>26</v>
      </c>
      <c r="BF36" s="242">
        <f t="shared" si="27"/>
        <v>8816.5617725258489</v>
      </c>
      <c r="BG36" s="294">
        <f t="shared" si="28"/>
        <v>58.166666666666664</v>
      </c>
      <c r="BH36" s="295">
        <v>2.0760000000000001</v>
      </c>
      <c r="BI36" s="296">
        <v>2.0760000000000001</v>
      </c>
      <c r="BJ36" s="297">
        <v>27</v>
      </c>
      <c r="BK36" s="298">
        <v>26.61</v>
      </c>
      <c r="BL36" s="298">
        <v>21.57</v>
      </c>
      <c r="BM36" s="298">
        <v>27.26</v>
      </c>
      <c r="BN36" s="299">
        <v>987</v>
      </c>
      <c r="BO36" s="298">
        <v>50.06</v>
      </c>
      <c r="BP36" s="300">
        <v>0.9375</v>
      </c>
      <c r="BQ36" s="298">
        <v>95.09</v>
      </c>
      <c r="BR36" s="297">
        <v>86.1</v>
      </c>
      <c r="BS36" s="242">
        <v>12041</v>
      </c>
      <c r="BT36" s="242">
        <v>11738</v>
      </c>
      <c r="BU36" s="301">
        <f t="shared" si="29"/>
        <v>-303</v>
      </c>
      <c r="BV36" s="242">
        <f t="shared" si="30"/>
        <v>4.1520000000000001</v>
      </c>
      <c r="BW36" s="302">
        <v>24</v>
      </c>
      <c r="BX36" s="302">
        <v>24</v>
      </c>
      <c r="BZ36" s="302">
        <v>24</v>
      </c>
      <c r="CA36" s="302">
        <v>6.7</v>
      </c>
      <c r="CC36" s="302">
        <v>2.1</v>
      </c>
      <c r="CD36" s="302">
        <v>3.8</v>
      </c>
      <c r="CE36" s="302">
        <v>1.8</v>
      </c>
      <c r="CF36" s="302">
        <v>1.9</v>
      </c>
    </row>
    <row r="37" spans="1:84">
      <c r="A37" s="452"/>
      <c r="B37" s="24">
        <v>43217</v>
      </c>
      <c r="C37" s="280">
        <v>95</v>
      </c>
      <c r="D37" s="281">
        <v>0.32</v>
      </c>
      <c r="E37" s="282">
        <v>64</v>
      </c>
      <c r="F37" s="223">
        <v>107</v>
      </c>
      <c r="G37" s="223">
        <v>79</v>
      </c>
      <c r="H37" s="283">
        <v>24</v>
      </c>
      <c r="I37" s="283">
        <v>0</v>
      </c>
      <c r="J37" s="283">
        <v>24</v>
      </c>
      <c r="K37" s="283">
        <v>0</v>
      </c>
      <c r="L37" s="284">
        <v>0</v>
      </c>
      <c r="M37" s="284">
        <v>0</v>
      </c>
      <c r="N37" s="284">
        <v>0</v>
      </c>
      <c r="O37" s="284">
        <v>0</v>
      </c>
      <c r="P37" s="284">
        <v>24</v>
      </c>
      <c r="Q37" s="280">
        <v>0</v>
      </c>
      <c r="R37" s="285">
        <v>3449</v>
      </c>
      <c r="S37" s="286">
        <v>3427</v>
      </c>
      <c r="T37" s="286">
        <v>3427</v>
      </c>
      <c r="U37" s="286">
        <v>3375</v>
      </c>
      <c r="V37" s="287">
        <v>3483</v>
      </c>
      <c r="W37" s="283">
        <v>43</v>
      </c>
      <c r="X37" s="283">
        <v>0</v>
      </c>
      <c r="Y37" s="283">
        <v>44</v>
      </c>
      <c r="Z37" s="288">
        <v>0</v>
      </c>
      <c r="AA37" s="288">
        <v>58</v>
      </c>
      <c r="AB37" s="284">
        <v>0</v>
      </c>
      <c r="AC37" s="221">
        <f t="shared" si="16"/>
        <v>108</v>
      </c>
      <c r="AD37" s="222">
        <f t="shared" si="17"/>
        <v>-52</v>
      </c>
      <c r="AE37" s="223">
        <v>148</v>
      </c>
      <c r="AF37" s="224">
        <f t="shared" si="34"/>
        <v>0.98057432432432434</v>
      </c>
      <c r="AG37" s="225">
        <f t="shared" si="35"/>
        <v>143.70833333333334</v>
      </c>
      <c r="AH37" s="224">
        <f t="shared" si="36"/>
        <v>0.97854450565381268</v>
      </c>
      <c r="AI37" s="226">
        <f t="shared" si="37"/>
        <v>1</v>
      </c>
      <c r="AJ37" s="227">
        <f t="shared" si="38"/>
        <v>1</v>
      </c>
      <c r="AK37" s="235">
        <v>9.5</v>
      </c>
      <c r="AL37" s="239">
        <v>136.72</v>
      </c>
      <c r="AM37" s="282">
        <f t="shared" si="22"/>
        <v>1298.8399999999999</v>
      </c>
      <c r="AN37" s="235">
        <v>29.162739999999999</v>
      </c>
      <c r="AO37" s="318">
        <v>979.03124920299001</v>
      </c>
      <c r="AP37" s="290">
        <f t="shared" si="39"/>
        <v>28551.233772382006</v>
      </c>
      <c r="AQ37" s="228">
        <f t="shared" si="40"/>
        <v>8844.466302928</v>
      </c>
      <c r="AR37" s="229">
        <f t="shared" si="33"/>
        <v>142.79166666666666</v>
      </c>
      <c r="AS37" s="291"/>
      <c r="AT37" s="223">
        <v>0</v>
      </c>
      <c r="AU37" s="292">
        <v>0</v>
      </c>
      <c r="AV37" s="292">
        <v>0</v>
      </c>
      <c r="AW37" s="223">
        <v>0</v>
      </c>
      <c r="AX37" s="292">
        <v>0</v>
      </c>
      <c r="AY37" s="223">
        <v>0</v>
      </c>
      <c r="AZ37" s="223">
        <v>0</v>
      </c>
      <c r="BA37" s="293"/>
      <c r="BB37" s="242">
        <v>1039</v>
      </c>
      <c r="BC37" s="242">
        <v>1062</v>
      </c>
      <c r="BD37" s="242">
        <v>1382</v>
      </c>
      <c r="BE37" s="242">
        <f t="shared" si="26"/>
        <v>23</v>
      </c>
      <c r="BF37" s="242">
        <f t="shared" si="27"/>
        <v>8844.466302928</v>
      </c>
      <c r="BG37" s="294">
        <f t="shared" si="28"/>
        <v>57.583333333333336</v>
      </c>
      <c r="BH37" s="295">
        <v>2.0339999999999998</v>
      </c>
      <c r="BI37" s="296">
        <v>2.0339999999999998</v>
      </c>
      <c r="BJ37" s="297">
        <v>27</v>
      </c>
      <c r="BK37" s="298">
        <v>26.79</v>
      </c>
      <c r="BL37" s="298">
        <v>21.73</v>
      </c>
      <c r="BM37" s="298">
        <v>26.83</v>
      </c>
      <c r="BN37" s="299">
        <v>988</v>
      </c>
      <c r="BO37" s="298">
        <v>50.01</v>
      </c>
      <c r="BP37" s="300">
        <v>0.93759999999999999</v>
      </c>
      <c r="BQ37" s="298">
        <v>94.92</v>
      </c>
      <c r="BR37" s="297">
        <v>86.17</v>
      </c>
      <c r="BS37" s="242">
        <v>12108</v>
      </c>
      <c r="BT37" s="242">
        <v>11803</v>
      </c>
      <c r="BU37" s="301">
        <f t="shared" si="29"/>
        <v>-305</v>
      </c>
      <c r="BV37" s="242">
        <f t="shared" si="30"/>
        <v>4.0679999999999996</v>
      </c>
      <c r="BW37" s="302">
        <v>24</v>
      </c>
      <c r="BX37" s="302">
        <v>24</v>
      </c>
      <c r="BZ37" s="302">
        <v>24</v>
      </c>
      <c r="CA37" s="302">
        <v>7.23</v>
      </c>
      <c r="CC37" s="302">
        <v>2.1</v>
      </c>
      <c r="CD37" s="302">
        <v>3.7</v>
      </c>
      <c r="CE37" s="302">
        <v>1.9</v>
      </c>
      <c r="CF37" s="302">
        <v>1.9</v>
      </c>
    </row>
    <row r="38" spans="1:84">
      <c r="A38" s="452"/>
      <c r="B38" s="24">
        <v>43218</v>
      </c>
      <c r="C38" s="280">
        <v>94</v>
      </c>
      <c r="D38" s="281">
        <v>0.35</v>
      </c>
      <c r="E38" s="282">
        <v>66</v>
      </c>
      <c r="F38" s="223">
        <v>108</v>
      </c>
      <c r="G38" s="223">
        <v>82</v>
      </c>
      <c r="H38" s="283">
        <v>24</v>
      </c>
      <c r="I38" s="283">
        <v>0</v>
      </c>
      <c r="J38" s="283">
        <v>24</v>
      </c>
      <c r="K38" s="283">
        <v>0</v>
      </c>
      <c r="L38" s="284">
        <v>0</v>
      </c>
      <c r="M38" s="284">
        <v>0</v>
      </c>
      <c r="N38" s="284">
        <v>0</v>
      </c>
      <c r="O38" s="284">
        <v>0</v>
      </c>
      <c r="P38" s="284">
        <v>24</v>
      </c>
      <c r="Q38" s="280">
        <v>0</v>
      </c>
      <c r="R38" s="285">
        <v>3454</v>
      </c>
      <c r="S38" s="286">
        <v>3411</v>
      </c>
      <c r="T38" s="286">
        <v>3411</v>
      </c>
      <c r="U38" s="286">
        <v>3348</v>
      </c>
      <c r="V38" s="287">
        <v>3457</v>
      </c>
      <c r="W38" s="283">
        <v>43</v>
      </c>
      <c r="X38" s="283">
        <v>0</v>
      </c>
      <c r="Y38" s="283">
        <v>44</v>
      </c>
      <c r="Z38" s="288">
        <v>0</v>
      </c>
      <c r="AA38" s="288">
        <v>57</v>
      </c>
      <c r="AB38" s="284">
        <v>0</v>
      </c>
      <c r="AC38" s="221">
        <f t="shared" si="16"/>
        <v>109</v>
      </c>
      <c r="AD38" s="222">
        <f t="shared" si="17"/>
        <v>-63</v>
      </c>
      <c r="AE38" s="223">
        <v>147</v>
      </c>
      <c r="AF38" s="224">
        <f t="shared" si="34"/>
        <v>0.97987528344671204</v>
      </c>
      <c r="AG38" s="225">
        <f t="shared" si="35"/>
        <v>143.91666666666666</v>
      </c>
      <c r="AH38" s="224">
        <f t="shared" si="36"/>
        <v>0.96931094383323679</v>
      </c>
      <c r="AI38" s="226">
        <f t="shared" si="37"/>
        <v>1</v>
      </c>
      <c r="AJ38" s="227">
        <f t="shared" si="38"/>
        <v>1</v>
      </c>
      <c r="AK38" s="235">
        <v>9.4879999999999995</v>
      </c>
      <c r="AL38" s="239">
        <v>136.85</v>
      </c>
      <c r="AM38" s="282">
        <f t="shared" si="22"/>
        <v>1298.4327999999998</v>
      </c>
      <c r="AN38" s="235">
        <v>28.998480000000001</v>
      </c>
      <c r="AO38" s="318">
        <v>975.52009622573325</v>
      </c>
      <c r="AP38" s="290">
        <f t="shared" si="39"/>
        <v>28288.600000000002</v>
      </c>
      <c r="AQ38" s="228">
        <f t="shared" si="40"/>
        <v>8837.2260454002389</v>
      </c>
      <c r="AR38" s="229">
        <f t="shared" si="33"/>
        <v>142.125</v>
      </c>
      <c r="AS38" s="291"/>
      <c r="AT38" s="223">
        <v>0</v>
      </c>
      <c r="AU38" s="292">
        <v>0</v>
      </c>
      <c r="AV38" s="292">
        <v>0</v>
      </c>
      <c r="AW38" s="223">
        <v>0</v>
      </c>
      <c r="AX38" s="292">
        <v>0</v>
      </c>
      <c r="AY38" s="223">
        <v>0</v>
      </c>
      <c r="AZ38" s="223">
        <v>0</v>
      </c>
      <c r="BA38" s="293"/>
      <c r="BB38" s="242">
        <v>1032</v>
      </c>
      <c r="BC38" s="242">
        <v>1055</v>
      </c>
      <c r="BD38" s="242">
        <v>1370</v>
      </c>
      <c r="BE38" s="242">
        <f t="shared" si="26"/>
        <v>23</v>
      </c>
      <c r="BF38" s="242">
        <f t="shared" si="27"/>
        <v>8837.2260454002389</v>
      </c>
      <c r="BG38" s="294">
        <f t="shared" si="28"/>
        <v>57.083333333333336</v>
      </c>
      <c r="BH38" s="295">
        <v>2.0019999999999998</v>
      </c>
      <c r="BI38" s="296">
        <v>2.0019999999999998</v>
      </c>
      <c r="BJ38" s="297">
        <v>27</v>
      </c>
      <c r="BK38" s="298">
        <v>26.72</v>
      </c>
      <c r="BL38" s="298">
        <v>21.61</v>
      </c>
      <c r="BM38" s="298">
        <v>27.22</v>
      </c>
      <c r="BN38" s="299">
        <v>989</v>
      </c>
      <c r="BO38" s="298">
        <v>49.98</v>
      </c>
      <c r="BP38" s="300">
        <v>0.93740000000000001</v>
      </c>
      <c r="BQ38" s="298">
        <v>95.27</v>
      </c>
      <c r="BR38" s="297">
        <v>86.35</v>
      </c>
      <c r="BS38" s="242">
        <v>12166</v>
      </c>
      <c r="BT38" s="242">
        <v>11861</v>
      </c>
      <c r="BU38" s="301">
        <f t="shared" si="29"/>
        <v>-305</v>
      </c>
      <c r="BV38" s="242">
        <f t="shared" si="30"/>
        <v>4.0039999999999996</v>
      </c>
      <c r="BW38" s="302">
        <v>24</v>
      </c>
      <c r="BX38" s="302">
        <v>24</v>
      </c>
      <c r="BZ38" s="302">
        <v>24</v>
      </c>
      <c r="CA38" s="302">
        <v>6.7</v>
      </c>
      <c r="CC38" s="302">
        <v>2</v>
      </c>
      <c r="CD38" s="302">
        <v>3.5</v>
      </c>
      <c r="CE38" s="302">
        <v>1.8</v>
      </c>
      <c r="CF38" s="302">
        <v>1.7</v>
      </c>
    </row>
    <row r="39" spans="1:84">
      <c r="A39" s="453"/>
      <c r="B39" s="24">
        <v>43219</v>
      </c>
      <c r="C39" s="280">
        <v>95</v>
      </c>
      <c r="D39" s="281">
        <v>0.4</v>
      </c>
      <c r="E39" s="282">
        <v>69</v>
      </c>
      <c r="F39" s="223">
        <v>108</v>
      </c>
      <c r="G39" s="223">
        <v>81</v>
      </c>
      <c r="H39" s="283">
        <v>24</v>
      </c>
      <c r="I39" s="283">
        <v>0</v>
      </c>
      <c r="J39" s="283">
        <v>24</v>
      </c>
      <c r="K39" s="283">
        <v>0</v>
      </c>
      <c r="L39" s="284">
        <v>0</v>
      </c>
      <c r="M39" s="284">
        <v>0</v>
      </c>
      <c r="N39" s="284">
        <v>0</v>
      </c>
      <c r="O39" s="284">
        <v>0</v>
      </c>
      <c r="P39" s="284">
        <v>0</v>
      </c>
      <c r="Q39" s="280">
        <v>0</v>
      </c>
      <c r="R39" s="285">
        <v>3446</v>
      </c>
      <c r="S39" s="286">
        <v>3046</v>
      </c>
      <c r="T39" s="286">
        <v>3046</v>
      </c>
      <c r="U39" s="286">
        <v>2980</v>
      </c>
      <c r="V39" s="287">
        <v>3074</v>
      </c>
      <c r="W39" s="283">
        <v>43</v>
      </c>
      <c r="X39" s="283">
        <v>0</v>
      </c>
      <c r="Y39" s="283">
        <v>44</v>
      </c>
      <c r="Z39" s="288">
        <v>0</v>
      </c>
      <c r="AA39" s="288">
        <v>57</v>
      </c>
      <c r="AB39" s="284">
        <v>0</v>
      </c>
      <c r="AC39" s="221">
        <f t="shared" si="16"/>
        <v>94</v>
      </c>
      <c r="AD39" s="222">
        <f t="shared" si="17"/>
        <v>-66</v>
      </c>
      <c r="AE39" s="223">
        <v>132</v>
      </c>
      <c r="AF39" s="224">
        <f t="shared" si="34"/>
        <v>0.97032828282828287</v>
      </c>
      <c r="AG39" s="225">
        <f t="shared" si="35"/>
        <v>143.58333333333334</v>
      </c>
      <c r="AH39" s="224">
        <f t="shared" si="36"/>
        <v>0.86477074869413817</v>
      </c>
      <c r="AI39" s="226">
        <f t="shared" si="37"/>
        <v>1</v>
      </c>
      <c r="AJ39" s="227">
        <f t="shared" si="38"/>
        <v>0.89583333333333337</v>
      </c>
      <c r="AK39" s="235">
        <v>9.5030000000000001</v>
      </c>
      <c r="AL39" s="239">
        <v>139.33000000000001</v>
      </c>
      <c r="AM39" s="282">
        <f t="shared" si="22"/>
        <v>1324.0529900000001</v>
      </c>
      <c r="AN39" s="235">
        <v>24.872779999999999</v>
      </c>
      <c r="AO39" s="318">
        <v>974.79172010527168</v>
      </c>
      <c r="AP39" s="290">
        <f t="shared" si="39"/>
        <v>24245.78</v>
      </c>
      <c r="AQ39" s="228">
        <f t="shared" si="40"/>
        <v>8580.4808691275157</v>
      </c>
      <c r="AR39" s="229">
        <f t="shared" si="33"/>
        <v>126.91666666666667</v>
      </c>
      <c r="AS39" s="291"/>
      <c r="AT39" s="223">
        <v>0</v>
      </c>
      <c r="AU39" s="292">
        <v>0</v>
      </c>
      <c r="AV39" s="292">
        <v>0</v>
      </c>
      <c r="AW39" s="223">
        <v>0</v>
      </c>
      <c r="AX39" s="292">
        <v>15</v>
      </c>
      <c r="AY39" s="223">
        <v>1440</v>
      </c>
      <c r="AZ39" s="223">
        <v>0</v>
      </c>
      <c r="BA39" s="293"/>
      <c r="BB39" s="242">
        <v>1024</v>
      </c>
      <c r="BC39" s="242">
        <v>1045</v>
      </c>
      <c r="BD39" s="242">
        <v>1005</v>
      </c>
      <c r="BE39" s="242">
        <f t="shared" si="26"/>
        <v>21</v>
      </c>
      <c r="BF39" s="242">
        <f t="shared" si="27"/>
        <v>8580.4808691275157</v>
      </c>
      <c r="BG39" s="294">
        <f t="shared" si="28"/>
        <v>41.875</v>
      </c>
      <c r="BH39" s="295">
        <v>0</v>
      </c>
      <c r="BI39" s="296">
        <v>0</v>
      </c>
      <c r="BJ39" s="297">
        <v>27</v>
      </c>
      <c r="BK39" s="298">
        <v>26.56</v>
      </c>
      <c r="BL39" s="298">
        <v>21.44</v>
      </c>
      <c r="BM39" s="298">
        <v>27.15</v>
      </c>
      <c r="BN39" s="299">
        <v>987</v>
      </c>
      <c r="BO39" s="298">
        <v>50.09</v>
      </c>
      <c r="BP39" s="300">
        <v>0.93740000000000001</v>
      </c>
      <c r="BQ39" s="298">
        <v>95.61</v>
      </c>
      <c r="BR39" s="297">
        <v>86.68</v>
      </c>
      <c r="BS39" s="242">
        <v>12182</v>
      </c>
      <c r="BT39" s="242">
        <v>11878</v>
      </c>
      <c r="BU39" s="301">
        <f t="shared" si="29"/>
        <v>-304</v>
      </c>
      <c r="BV39" s="242">
        <f t="shared" si="30"/>
        <v>0</v>
      </c>
      <c r="BW39" s="302">
        <v>0</v>
      </c>
      <c r="BX39" s="302">
        <v>0</v>
      </c>
      <c r="BZ39" s="302">
        <v>24</v>
      </c>
      <c r="CA39" s="302">
        <v>7</v>
      </c>
      <c r="CC39" s="302">
        <v>2.1</v>
      </c>
      <c r="CD39" s="302">
        <v>3.9</v>
      </c>
      <c r="CE39" s="302">
        <v>1.8</v>
      </c>
      <c r="CF39" s="302">
        <v>1.4</v>
      </c>
    </row>
    <row r="40" spans="1:84" ht="15" customHeight="1">
      <c r="A40" s="451" t="s">
        <v>181</v>
      </c>
      <c r="B40" s="24">
        <v>43220</v>
      </c>
      <c r="C40" s="303">
        <v>96.1</v>
      </c>
      <c r="D40" s="197">
        <v>0.38</v>
      </c>
      <c r="E40" s="304">
        <v>68.900000000000006</v>
      </c>
      <c r="F40" s="303">
        <v>109</v>
      </c>
      <c r="G40" s="303">
        <v>82</v>
      </c>
      <c r="H40" s="303">
        <v>24</v>
      </c>
      <c r="I40" s="303">
        <v>0</v>
      </c>
      <c r="J40" s="303">
        <v>24</v>
      </c>
      <c r="K40" s="303">
        <v>0</v>
      </c>
      <c r="L40" s="303">
        <v>0</v>
      </c>
      <c r="M40" s="303">
        <v>0</v>
      </c>
      <c r="N40" s="303">
        <v>0</v>
      </c>
      <c r="O40" s="303">
        <v>0</v>
      </c>
      <c r="P40" s="303">
        <v>11</v>
      </c>
      <c r="Q40" s="303">
        <v>0</v>
      </c>
      <c r="R40" s="305">
        <v>3432</v>
      </c>
      <c r="S40" s="305">
        <v>3199</v>
      </c>
      <c r="T40" s="305">
        <v>3199</v>
      </c>
      <c r="U40" s="305">
        <v>3130</v>
      </c>
      <c r="V40" s="305">
        <v>3233</v>
      </c>
      <c r="W40" s="303">
        <v>42</v>
      </c>
      <c r="X40" s="303">
        <v>0</v>
      </c>
      <c r="Y40" s="160">
        <v>43</v>
      </c>
      <c r="Z40" s="160">
        <v>0</v>
      </c>
      <c r="AA40" s="160">
        <v>57</v>
      </c>
      <c r="AB40" s="159">
        <v>0</v>
      </c>
      <c r="AC40" s="165">
        <f t="shared" si="16"/>
        <v>103</v>
      </c>
      <c r="AD40" s="166">
        <f t="shared" si="17"/>
        <v>-69</v>
      </c>
      <c r="AE40" s="159">
        <v>145</v>
      </c>
      <c r="AF40" s="167">
        <f t="shared" si="18"/>
        <v>0.92902298850574716</v>
      </c>
      <c r="AG40" s="168">
        <f t="shared" si="19"/>
        <v>143</v>
      </c>
      <c r="AH40" s="167">
        <f t="shared" si="20"/>
        <v>0.91200466200466201</v>
      </c>
      <c r="AI40" s="169">
        <f t="shared" si="31"/>
        <v>1</v>
      </c>
      <c r="AJ40" s="170">
        <f t="shared" si="21"/>
        <v>0.94278169014084512</v>
      </c>
      <c r="AK40" s="235">
        <v>9.4809999999999999</v>
      </c>
      <c r="AL40" s="239">
        <v>140.94</v>
      </c>
      <c r="AM40" s="171">
        <f t="shared" si="22"/>
        <v>1336.2521400000001</v>
      </c>
      <c r="AN40" s="235">
        <v>26.73255</v>
      </c>
      <c r="AO40" s="318">
        <v>973.25732113098081</v>
      </c>
      <c r="AP40" s="172">
        <f t="shared" si="39"/>
        <v>26017.65</v>
      </c>
      <c r="AQ40" s="202">
        <f t="shared" si="40"/>
        <v>8739.2658594249206</v>
      </c>
      <c r="AR40" s="199">
        <f t="shared" ref="AR40:AR45" si="41">IF(S40&gt;0,S40/24, "no data")</f>
        <v>133.29166666666666</v>
      </c>
      <c r="AS40" s="309"/>
      <c r="AT40" s="159">
        <v>0</v>
      </c>
      <c r="AU40" s="174">
        <v>0</v>
      </c>
      <c r="AV40" s="174">
        <v>0</v>
      </c>
      <c r="AW40" s="159">
        <v>0</v>
      </c>
      <c r="AX40" s="174">
        <v>15</v>
      </c>
      <c r="AY40" s="159">
        <v>780</v>
      </c>
      <c r="AZ40" s="159">
        <v>0</v>
      </c>
      <c r="BA40" s="310"/>
      <c r="BB40" s="175">
        <v>1019</v>
      </c>
      <c r="BC40" s="175">
        <v>1043</v>
      </c>
      <c r="BD40" s="175">
        <v>1171</v>
      </c>
      <c r="BE40" s="175">
        <f t="shared" si="26"/>
        <v>24</v>
      </c>
      <c r="BF40" s="175">
        <f t="shared" si="27"/>
        <v>8739.2658594249206</v>
      </c>
      <c r="BG40" s="311">
        <f t="shared" si="28"/>
        <v>48.791666666666664</v>
      </c>
      <c r="BH40" s="191">
        <v>0.95799999999999996</v>
      </c>
      <c r="BI40" s="155">
        <v>0.95799999999999996</v>
      </c>
      <c r="BJ40" s="181">
        <v>27</v>
      </c>
      <c r="BK40" s="312">
        <v>26.56</v>
      </c>
      <c r="BL40" s="181">
        <v>21.52</v>
      </c>
      <c r="BM40" s="181">
        <v>27.06</v>
      </c>
      <c r="BN40" s="192">
        <v>982.83</v>
      </c>
      <c r="BO40" s="181">
        <v>50.01</v>
      </c>
      <c r="BP40" s="193">
        <v>0.93910000000000005</v>
      </c>
      <c r="BQ40" s="195">
        <v>95.48</v>
      </c>
      <c r="BR40" s="181">
        <v>86.85</v>
      </c>
      <c r="BS40" s="175">
        <v>12242</v>
      </c>
      <c r="BT40" s="175">
        <v>11948</v>
      </c>
      <c r="BU40" s="313">
        <f t="shared" si="29"/>
        <v>-294</v>
      </c>
      <c r="BV40" s="175">
        <f t="shared" si="30"/>
        <v>1.9159999999999999</v>
      </c>
      <c r="BW40" s="177">
        <v>11</v>
      </c>
      <c r="BX40" s="177">
        <v>11</v>
      </c>
      <c r="BZ40" s="177">
        <v>24</v>
      </c>
      <c r="CA40" s="177">
        <v>6.73</v>
      </c>
      <c r="CC40" s="177">
        <v>2.2000000000000002</v>
      </c>
      <c r="CD40" s="177">
        <v>3.9</v>
      </c>
      <c r="CE40" s="177">
        <v>1.8</v>
      </c>
      <c r="CF40" s="177">
        <v>1.5</v>
      </c>
    </row>
    <row r="41" spans="1:84">
      <c r="A41" s="452"/>
      <c r="B41" s="24">
        <v>43221</v>
      </c>
      <c r="C41" s="303"/>
      <c r="D41" s="197"/>
      <c r="E41" s="304"/>
      <c r="F41" s="303"/>
      <c r="G41" s="303"/>
      <c r="H41" s="303"/>
      <c r="I41" s="303"/>
      <c r="J41" s="303"/>
      <c r="K41" s="314"/>
      <c r="L41" s="314"/>
      <c r="M41" s="314"/>
      <c r="N41" s="303"/>
      <c r="O41" s="303"/>
      <c r="P41" s="303"/>
      <c r="Q41" s="303"/>
      <c r="R41" s="305"/>
      <c r="S41" s="305"/>
      <c r="T41" s="305"/>
      <c r="U41" s="305"/>
      <c r="V41" s="305"/>
      <c r="W41" s="303"/>
      <c r="X41" s="303"/>
      <c r="Y41" s="263"/>
      <c r="Z41" s="160"/>
      <c r="AA41" s="160"/>
      <c r="AB41" s="159"/>
      <c r="AC41" s="165">
        <f t="shared" si="16"/>
        <v>0</v>
      </c>
      <c r="AD41" s="166">
        <f t="shared" si="17"/>
        <v>0</v>
      </c>
      <c r="AE41" s="159"/>
      <c r="AF41" s="167" t="str">
        <f t="shared" si="18"/>
        <v>no data</v>
      </c>
      <c r="AG41" s="168" t="str">
        <f t="shared" si="19"/>
        <v>no data</v>
      </c>
      <c r="AH41" s="167" t="str">
        <f t="shared" si="20"/>
        <v>no data</v>
      </c>
      <c r="AI41" s="169" t="str">
        <f t="shared" si="31"/>
        <v>no data</v>
      </c>
      <c r="AJ41" s="170" t="str">
        <f t="shared" si="21"/>
        <v>no data</v>
      </c>
      <c r="AK41" s="306"/>
      <c r="AL41" s="307"/>
      <c r="AM41" s="171">
        <f t="shared" si="22"/>
        <v>0</v>
      </c>
      <c r="AN41" s="306"/>
      <c r="AO41" s="308"/>
      <c r="AP41" s="172">
        <f t="shared" si="23"/>
        <v>0</v>
      </c>
      <c r="AQ41" s="202" t="str">
        <f t="shared" si="24"/>
        <v>no data</v>
      </c>
      <c r="AR41" s="199" t="str">
        <f t="shared" si="41"/>
        <v>no data</v>
      </c>
      <c r="AS41" s="309"/>
      <c r="AT41" s="159"/>
      <c r="AU41" s="174"/>
      <c r="AV41" s="174"/>
      <c r="AW41" s="159"/>
      <c r="AX41" s="174"/>
      <c r="AY41" s="159"/>
      <c r="AZ41" s="159"/>
      <c r="BA41" s="310"/>
      <c r="BB41" s="175"/>
      <c r="BC41" s="175"/>
      <c r="BD41" s="175"/>
      <c r="BE41" s="175">
        <f t="shared" si="26"/>
        <v>0</v>
      </c>
      <c r="BF41" s="175" t="str">
        <f t="shared" si="27"/>
        <v>no data</v>
      </c>
      <c r="BG41" s="311">
        <f t="shared" si="28"/>
        <v>0</v>
      </c>
      <c r="BH41" s="191"/>
      <c r="BI41" s="155"/>
      <c r="BJ41" s="181"/>
      <c r="BK41" s="181"/>
      <c r="BL41" s="312"/>
      <c r="BM41" s="181"/>
      <c r="BN41" s="192"/>
      <c r="BO41" s="181"/>
      <c r="BP41" s="193"/>
      <c r="BQ41" s="315"/>
      <c r="BR41" s="181"/>
      <c r="BS41" s="175"/>
      <c r="BT41" s="175"/>
      <c r="BU41" s="313">
        <f t="shared" si="29"/>
        <v>0</v>
      </c>
      <c r="BV41" s="175">
        <f t="shared" si="30"/>
        <v>0</v>
      </c>
      <c r="BW41" s="177"/>
      <c r="BX41" s="177"/>
      <c r="BZ41" s="177"/>
      <c r="CA41" s="177"/>
      <c r="CC41" s="177"/>
      <c r="CD41" s="177"/>
      <c r="CE41" s="177"/>
      <c r="CF41" s="177"/>
    </row>
    <row r="42" spans="1:84">
      <c r="A42" s="452"/>
      <c r="B42" s="24">
        <v>43222</v>
      </c>
      <c r="C42" s="175"/>
      <c r="D42" s="197"/>
      <c r="E42" s="175"/>
      <c r="F42" s="175"/>
      <c r="G42" s="175"/>
      <c r="H42" s="175"/>
      <c r="I42" s="175"/>
      <c r="J42" s="175"/>
      <c r="K42" s="175"/>
      <c r="L42" s="175"/>
      <c r="M42" s="175"/>
      <c r="N42" s="175"/>
      <c r="O42" s="175"/>
      <c r="P42" s="175"/>
      <c r="Q42" s="175"/>
      <c r="R42" s="305"/>
      <c r="S42" s="305"/>
      <c r="T42" s="305"/>
      <c r="U42" s="305"/>
      <c r="V42" s="305"/>
      <c r="W42" s="303"/>
      <c r="X42" s="303"/>
      <c r="Y42" s="263"/>
      <c r="Z42" s="160"/>
      <c r="AA42" s="160"/>
      <c r="AB42" s="159"/>
      <c r="AC42" s="165">
        <f t="shared" si="16"/>
        <v>0</v>
      </c>
      <c r="AD42" s="166">
        <f t="shared" si="17"/>
        <v>0</v>
      </c>
      <c r="AE42" s="159"/>
      <c r="AF42" s="167" t="str">
        <f t="shared" si="18"/>
        <v>no data</v>
      </c>
      <c r="AG42" s="168" t="str">
        <f t="shared" si="19"/>
        <v>no data</v>
      </c>
      <c r="AH42" s="167" t="str">
        <f t="shared" si="20"/>
        <v>no data</v>
      </c>
      <c r="AI42" s="169" t="str">
        <f t="shared" si="31"/>
        <v>no data</v>
      </c>
      <c r="AJ42" s="170" t="str">
        <f t="shared" si="21"/>
        <v>no data</v>
      </c>
      <c r="AK42" s="306"/>
      <c r="AL42" s="307"/>
      <c r="AM42" s="171">
        <f t="shared" si="22"/>
        <v>0</v>
      </c>
      <c r="AN42" s="306"/>
      <c r="AO42" s="308"/>
      <c r="AP42" s="172">
        <f t="shared" si="23"/>
        <v>0</v>
      </c>
      <c r="AQ42" s="202" t="str">
        <f t="shared" si="24"/>
        <v>no data</v>
      </c>
      <c r="AR42" s="199" t="str">
        <f t="shared" si="41"/>
        <v>no data</v>
      </c>
      <c r="AS42" s="309"/>
      <c r="AT42" s="159"/>
      <c r="AU42" s="174"/>
      <c r="AV42" s="174"/>
      <c r="AW42" s="159"/>
      <c r="AX42" s="174"/>
      <c r="AY42" s="159"/>
      <c r="AZ42" s="159"/>
      <c r="BA42" s="310"/>
      <c r="BB42" s="175"/>
      <c r="BC42" s="175"/>
      <c r="BD42" s="175"/>
      <c r="BE42" s="175">
        <f t="shared" si="26"/>
        <v>0</v>
      </c>
      <c r="BF42" s="175" t="str">
        <f t="shared" si="27"/>
        <v>no data</v>
      </c>
      <c r="BG42" s="311">
        <f t="shared" si="28"/>
        <v>0</v>
      </c>
      <c r="BH42" s="191"/>
      <c r="BI42" s="155"/>
      <c r="BJ42" s="181"/>
      <c r="BK42" s="312"/>
      <c r="BL42" s="181"/>
      <c r="BM42" s="181"/>
      <c r="BN42" s="192"/>
      <c r="BO42" s="181"/>
      <c r="BP42" s="193"/>
      <c r="BQ42" s="312"/>
      <c r="BR42" s="181"/>
      <c r="BS42" s="175"/>
      <c r="BT42" s="175"/>
      <c r="BU42" s="313">
        <f t="shared" si="29"/>
        <v>0</v>
      </c>
      <c r="BV42" s="175">
        <f t="shared" si="30"/>
        <v>0</v>
      </c>
      <c r="BW42" s="177"/>
      <c r="BX42" s="177"/>
      <c r="BZ42" s="177"/>
      <c r="CA42" s="177"/>
      <c r="CC42" s="177"/>
      <c r="CD42" s="177"/>
      <c r="CE42" s="177"/>
      <c r="CF42" s="177"/>
    </row>
    <row r="43" spans="1:84">
      <c r="A43" s="452"/>
      <c r="B43" s="24">
        <v>43223</v>
      </c>
      <c r="C43" s="157"/>
      <c r="D43" s="169"/>
      <c r="E43" s="171"/>
      <c r="F43" s="175"/>
      <c r="G43" s="159"/>
      <c r="H43" s="159"/>
      <c r="I43" s="159"/>
      <c r="J43" s="159"/>
      <c r="K43" s="159"/>
      <c r="L43" s="187"/>
      <c r="M43" s="187"/>
      <c r="N43" s="187"/>
      <c r="O43" s="187"/>
      <c r="P43" s="187"/>
      <c r="Q43" s="187"/>
      <c r="R43" s="305"/>
      <c r="S43" s="305"/>
      <c r="T43" s="305"/>
      <c r="U43" s="305"/>
      <c r="V43" s="305"/>
      <c r="W43" s="159"/>
      <c r="X43" s="159"/>
      <c r="Y43" s="160"/>
      <c r="Z43" s="160"/>
      <c r="AA43" s="160"/>
      <c r="AB43" s="159"/>
      <c r="AC43" s="165">
        <f t="shared" si="16"/>
        <v>0</v>
      </c>
      <c r="AD43" s="166">
        <f t="shared" si="17"/>
        <v>0</v>
      </c>
      <c r="AE43" s="159"/>
      <c r="AF43" s="167" t="str">
        <f t="shared" si="18"/>
        <v>no data</v>
      </c>
      <c r="AG43" s="168" t="str">
        <f t="shared" si="19"/>
        <v>no data</v>
      </c>
      <c r="AH43" s="167" t="str">
        <f t="shared" si="20"/>
        <v>no data</v>
      </c>
      <c r="AI43" s="169" t="str">
        <f t="shared" si="31"/>
        <v>no data</v>
      </c>
      <c r="AJ43" s="170" t="str">
        <f t="shared" si="21"/>
        <v>no data</v>
      </c>
      <c r="AK43" s="306"/>
      <c r="AL43" s="307"/>
      <c r="AM43" s="171">
        <f t="shared" si="22"/>
        <v>0</v>
      </c>
      <c r="AN43" s="306"/>
      <c r="AO43" s="308"/>
      <c r="AP43" s="172">
        <f t="shared" si="23"/>
        <v>0</v>
      </c>
      <c r="AQ43" s="202" t="str">
        <f t="shared" si="24"/>
        <v>no data</v>
      </c>
      <c r="AR43" s="199" t="str">
        <f t="shared" si="41"/>
        <v>no data</v>
      </c>
      <c r="AS43" s="309"/>
      <c r="AT43" s="159"/>
      <c r="AU43" s="174"/>
      <c r="AV43" s="174"/>
      <c r="AW43" s="159"/>
      <c r="AX43" s="174"/>
      <c r="AY43" s="159"/>
      <c r="AZ43" s="159"/>
      <c r="BA43" s="310"/>
      <c r="BB43" s="175"/>
      <c r="BC43" s="175"/>
      <c r="BD43" s="175"/>
      <c r="BE43" s="175">
        <f t="shared" si="26"/>
        <v>0</v>
      </c>
      <c r="BF43" s="175" t="str">
        <f t="shared" si="27"/>
        <v>no data</v>
      </c>
      <c r="BG43" s="311">
        <f t="shared" si="28"/>
        <v>0</v>
      </c>
      <c r="BH43" s="191"/>
      <c r="BI43" s="155"/>
      <c r="BJ43" s="181"/>
      <c r="BK43" s="312"/>
      <c r="BL43" s="181"/>
      <c r="BM43" s="181"/>
      <c r="BN43" s="192"/>
      <c r="BO43" s="181"/>
      <c r="BP43" s="180"/>
      <c r="BQ43" s="181"/>
      <c r="BR43" s="181"/>
      <c r="BS43" s="175"/>
      <c r="BT43" s="175"/>
      <c r="BU43" s="313">
        <f t="shared" si="29"/>
        <v>0</v>
      </c>
      <c r="BV43" s="175">
        <f t="shared" si="30"/>
        <v>0</v>
      </c>
      <c r="BW43" s="177"/>
      <c r="BX43" s="177"/>
      <c r="BZ43" s="177"/>
      <c r="CA43" s="177"/>
      <c r="CC43" s="177"/>
      <c r="CD43" s="177"/>
      <c r="CE43" s="177"/>
      <c r="CF43" s="177"/>
    </row>
    <row r="44" spans="1:84">
      <c r="A44" s="452"/>
      <c r="B44" s="24">
        <v>43224</v>
      </c>
      <c r="C44" s="157"/>
      <c r="D44" s="197"/>
      <c r="E44" s="171"/>
      <c r="F44" s="175"/>
      <c r="G44" s="159"/>
      <c r="H44" s="160"/>
      <c r="I44" s="160"/>
      <c r="J44" s="160"/>
      <c r="K44" s="160"/>
      <c r="L44" s="187"/>
      <c r="M44" s="187"/>
      <c r="N44" s="187"/>
      <c r="O44" s="187"/>
      <c r="P44" s="187"/>
      <c r="Q44" s="187"/>
      <c r="R44" s="305"/>
      <c r="S44" s="305"/>
      <c r="T44" s="305"/>
      <c r="U44" s="305"/>
      <c r="V44" s="305"/>
      <c r="W44" s="160"/>
      <c r="X44" s="160"/>
      <c r="Y44" s="160"/>
      <c r="Z44" s="160"/>
      <c r="AA44" s="160"/>
      <c r="AB44" s="159"/>
      <c r="AC44" s="165">
        <f t="shared" si="16"/>
        <v>0</v>
      </c>
      <c r="AD44" s="166">
        <f t="shared" si="17"/>
        <v>0</v>
      </c>
      <c r="AE44" s="159"/>
      <c r="AF44" s="167" t="str">
        <f t="shared" si="18"/>
        <v>no data</v>
      </c>
      <c r="AG44" s="168" t="str">
        <f t="shared" si="19"/>
        <v>no data</v>
      </c>
      <c r="AH44" s="167" t="str">
        <f t="shared" si="20"/>
        <v>no data</v>
      </c>
      <c r="AI44" s="169" t="str">
        <f t="shared" si="31"/>
        <v>no data</v>
      </c>
      <c r="AJ44" s="170" t="str">
        <f t="shared" si="21"/>
        <v>no data</v>
      </c>
      <c r="AK44" s="306"/>
      <c r="AL44" s="307"/>
      <c r="AM44" s="171">
        <f t="shared" si="22"/>
        <v>0</v>
      </c>
      <c r="AN44" s="306"/>
      <c r="AO44" s="308"/>
      <c r="AP44" s="172">
        <f t="shared" si="23"/>
        <v>0</v>
      </c>
      <c r="AQ44" s="202" t="str">
        <f t="shared" si="24"/>
        <v>no data</v>
      </c>
      <c r="AR44" s="199" t="str">
        <f t="shared" si="41"/>
        <v>no data</v>
      </c>
      <c r="AS44" s="309"/>
      <c r="AT44" s="159"/>
      <c r="AU44" s="174"/>
      <c r="AV44" s="174"/>
      <c r="AW44" s="159"/>
      <c r="AX44" s="174"/>
      <c r="AY44" s="159"/>
      <c r="AZ44" s="159"/>
      <c r="BA44" s="310"/>
      <c r="BB44" s="175"/>
      <c r="BC44" s="175"/>
      <c r="BD44" s="175"/>
      <c r="BE44" s="175">
        <f t="shared" si="26"/>
        <v>0</v>
      </c>
      <c r="BF44" s="175" t="str">
        <f t="shared" si="27"/>
        <v>no data</v>
      </c>
      <c r="BG44" s="311">
        <f t="shared" si="28"/>
        <v>0</v>
      </c>
      <c r="BH44" s="191"/>
      <c r="BI44" s="155"/>
      <c r="BJ44" s="181"/>
      <c r="BK44" s="312"/>
      <c r="BL44" s="192"/>
      <c r="BM44" s="192"/>
      <c r="BN44" s="192"/>
      <c r="BO44" s="181"/>
      <c r="BP44" s="193"/>
      <c r="BQ44" s="177"/>
      <c r="BR44" s="177"/>
      <c r="BS44" s="175"/>
      <c r="BT44" s="175"/>
      <c r="BU44" s="313">
        <f t="shared" si="29"/>
        <v>0</v>
      </c>
      <c r="BV44" s="175">
        <f t="shared" si="30"/>
        <v>0</v>
      </c>
      <c r="BW44" s="177"/>
      <c r="BX44" s="177"/>
      <c r="BZ44" s="177"/>
      <c r="CA44" s="177"/>
      <c r="CC44" s="177"/>
      <c r="CD44" s="177"/>
      <c r="CE44" s="177"/>
      <c r="CF44" s="177"/>
    </row>
    <row r="45" spans="1:84">
      <c r="A45" s="452"/>
      <c r="B45" s="24">
        <v>43225</v>
      </c>
      <c r="C45" s="157"/>
      <c r="D45" s="197"/>
      <c r="E45" s="171"/>
      <c r="F45" s="175"/>
      <c r="G45" s="159"/>
      <c r="H45" s="160"/>
      <c r="I45" s="160"/>
      <c r="J45" s="160"/>
      <c r="K45" s="160"/>
      <c r="L45" s="187"/>
      <c r="M45" s="187"/>
      <c r="N45" s="187"/>
      <c r="O45" s="187"/>
      <c r="P45" s="187"/>
      <c r="Q45" s="187"/>
      <c r="R45" s="305"/>
      <c r="S45" s="305"/>
      <c r="T45" s="305"/>
      <c r="U45" s="305"/>
      <c r="V45" s="305"/>
      <c r="W45" s="160"/>
      <c r="X45" s="160"/>
      <c r="Y45" s="160"/>
      <c r="Z45" s="160"/>
      <c r="AA45" s="160"/>
      <c r="AB45" s="159"/>
      <c r="AC45" s="165">
        <f t="shared" si="16"/>
        <v>0</v>
      </c>
      <c r="AD45" s="166">
        <f t="shared" si="17"/>
        <v>0</v>
      </c>
      <c r="AE45" s="159"/>
      <c r="AF45" s="167" t="str">
        <f t="shared" si="18"/>
        <v>no data</v>
      </c>
      <c r="AG45" s="168" t="str">
        <f t="shared" si="19"/>
        <v>no data</v>
      </c>
      <c r="AH45" s="167" t="str">
        <f t="shared" si="20"/>
        <v>no data</v>
      </c>
      <c r="AI45" s="169" t="str">
        <f t="shared" si="31"/>
        <v>no data</v>
      </c>
      <c r="AJ45" s="170" t="str">
        <f t="shared" si="21"/>
        <v>no data</v>
      </c>
      <c r="AK45" s="306"/>
      <c r="AL45" s="307"/>
      <c r="AM45" s="171">
        <f t="shared" si="22"/>
        <v>0</v>
      </c>
      <c r="AN45" s="306"/>
      <c r="AO45" s="308"/>
      <c r="AP45" s="172">
        <f t="shared" si="23"/>
        <v>0</v>
      </c>
      <c r="AQ45" s="202" t="str">
        <f t="shared" si="24"/>
        <v>no data</v>
      </c>
      <c r="AR45" s="199" t="str">
        <f t="shared" si="41"/>
        <v>no data</v>
      </c>
      <c r="AS45" s="309"/>
      <c r="AT45" s="159"/>
      <c r="AU45" s="174"/>
      <c r="AV45" s="174"/>
      <c r="AW45" s="159"/>
      <c r="AX45" s="174"/>
      <c r="AY45" s="159"/>
      <c r="AZ45" s="159"/>
      <c r="BA45" s="310"/>
      <c r="BB45" s="175"/>
      <c r="BC45" s="175"/>
      <c r="BD45" s="175"/>
      <c r="BE45" s="175">
        <f t="shared" si="26"/>
        <v>0</v>
      </c>
      <c r="BF45" s="175" t="str">
        <f t="shared" si="27"/>
        <v>no data</v>
      </c>
      <c r="BG45" s="311">
        <f t="shared" si="28"/>
        <v>0</v>
      </c>
      <c r="BH45" s="191"/>
      <c r="BI45" s="155"/>
      <c r="BJ45" s="181"/>
      <c r="BK45" s="312"/>
      <c r="BL45" s="192"/>
      <c r="BM45" s="192"/>
      <c r="BN45" s="192"/>
      <c r="BO45" s="181"/>
      <c r="BP45" s="193"/>
      <c r="BQ45" s="177"/>
      <c r="BR45" s="177"/>
      <c r="BS45" s="175"/>
      <c r="BT45" s="175"/>
      <c r="BU45" s="313">
        <f t="shared" si="29"/>
        <v>0</v>
      </c>
      <c r="BV45" s="175">
        <f t="shared" si="30"/>
        <v>0</v>
      </c>
      <c r="BW45" s="175"/>
      <c r="BX45" s="175"/>
      <c r="BZ45" s="175"/>
      <c r="CA45" s="175"/>
      <c r="CC45" s="175"/>
      <c r="CD45" s="175"/>
      <c r="CE45" s="175"/>
      <c r="CF45" s="175"/>
    </row>
    <row r="46" spans="1:84">
      <c r="A46" s="453"/>
      <c r="B46" s="24">
        <v>43226</v>
      </c>
      <c r="C46" s="157"/>
      <c r="D46" s="197"/>
      <c r="E46" s="171"/>
      <c r="F46" s="175"/>
      <c r="G46" s="159"/>
      <c r="H46" s="160"/>
      <c r="I46" s="160"/>
      <c r="J46" s="160"/>
      <c r="K46" s="160"/>
      <c r="L46" s="187"/>
      <c r="M46" s="187"/>
      <c r="N46" s="187"/>
      <c r="O46" s="187"/>
      <c r="P46" s="187"/>
      <c r="Q46" s="187"/>
      <c r="R46" s="305"/>
      <c r="S46" s="305"/>
      <c r="T46" s="305"/>
      <c r="U46" s="305"/>
      <c r="V46" s="305"/>
      <c r="W46" s="160"/>
      <c r="X46" s="160"/>
      <c r="Y46" s="160"/>
      <c r="Z46" s="160"/>
      <c r="AA46" s="160"/>
      <c r="AB46" s="159"/>
      <c r="AC46" s="165">
        <f t="shared" si="16"/>
        <v>0</v>
      </c>
      <c r="AD46" s="166">
        <f t="shared" si="17"/>
        <v>0</v>
      </c>
      <c r="AE46" s="159"/>
      <c r="AF46" s="167"/>
      <c r="AG46" s="168"/>
      <c r="AH46" s="167"/>
      <c r="AI46" s="169"/>
      <c r="AJ46" s="170"/>
      <c r="AK46" s="306"/>
      <c r="AL46" s="307"/>
      <c r="AM46" s="171"/>
      <c r="AN46" s="306"/>
      <c r="AO46" s="308"/>
      <c r="AP46" s="172"/>
      <c r="AQ46" s="202"/>
      <c r="AR46" s="199"/>
      <c r="AS46" s="309"/>
      <c r="AT46" s="159"/>
      <c r="AU46" s="174"/>
      <c r="AV46" s="174"/>
      <c r="AW46" s="159"/>
      <c r="AX46" s="174"/>
      <c r="AY46" s="159"/>
      <c r="AZ46" s="159"/>
      <c r="BA46" s="310"/>
      <c r="BB46" s="175"/>
      <c r="BC46" s="175"/>
      <c r="BD46" s="175"/>
      <c r="BE46" s="175"/>
      <c r="BF46" s="175"/>
      <c r="BG46" s="311"/>
      <c r="BH46" s="191"/>
      <c r="BI46" s="155"/>
      <c r="BJ46" s="181"/>
      <c r="BK46" s="312"/>
      <c r="BL46" s="192"/>
      <c r="BM46" s="192"/>
      <c r="BN46" s="192"/>
      <c r="BO46" s="181"/>
      <c r="BP46" s="193"/>
      <c r="BQ46" s="177"/>
      <c r="BR46" s="177"/>
      <c r="BS46" s="175"/>
      <c r="BT46" s="175"/>
      <c r="BU46" s="313"/>
      <c r="BV46" s="175"/>
      <c r="BW46" s="316"/>
      <c r="BX46" s="316"/>
      <c r="BZ46" s="316"/>
      <c r="CA46" s="316"/>
      <c r="CC46" s="316"/>
      <c r="CD46" s="316"/>
      <c r="CE46" s="316"/>
      <c r="CF46" s="316"/>
    </row>
    <row r="47" spans="1:84">
      <c r="A47" s="79"/>
      <c r="B47" s="80" t="s">
        <v>83</v>
      </c>
      <c r="C47" s="81">
        <f>AVERAGE(C11:C40)</f>
        <v>86.102000000000004</v>
      </c>
      <c r="D47" s="82">
        <f>AVERAGE(D11:D40)</f>
        <v>0.44847000000000009</v>
      </c>
      <c r="E47" s="81">
        <f>AVERAGE(E11:E40)</f>
        <v>64.234999999999999</v>
      </c>
      <c r="F47" s="81">
        <f>AVERAGE(F11:F40)</f>
        <v>98.7</v>
      </c>
      <c r="G47" s="81">
        <f>AVERAGE(G11:G40)</f>
        <v>73.233333333333334</v>
      </c>
      <c r="H47" s="81">
        <f>SUM(H11:H40)+(INT(SUM(I11:I40)/60))</f>
        <v>717</v>
      </c>
      <c r="I47" s="81">
        <f>SUM(I11:I40)-(INT(SUM(I11:I40)/60)*60)</f>
        <v>54</v>
      </c>
      <c r="J47" s="81">
        <f>SUM(J11:J40)+(INT(SUM(K11:K40)/60))</f>
        <v>718</v>
      </c>
      <c r="K47" s="81">
        <f t="shared" ref="K47:Q47" si="42">SUM(K11:K40)-(INT(SUM(K11:K40)/60)*60)</f>
        <v>8</v>
      </c>
      <c r="L47" s="81">
        <f t="shared" si="42"/>
        <v>0</v>
      </c>
      <c r="M47" s="81">
        <f t="shared" si="42"/>
        <v>0</v>
      </c>
      <c r="N47" s="81">
        <f t="shared" si="42"/>
        <v>0</v>
      </c>
      <c r="O47" s="81">
        <f t="shared" si="42"/>
        <v>0</v>
      </c>
      <c r="P47" s="81">
        <f t="shared" si="42"/>
        <v>33</v>
      </c>
      <c r="Q47" s="81">
        <f t="shared" si="42"/>
        <v>35</v>
      </c>
      <c r="R47" s="83">
        <f>SUM(R11:R40)</f>
        <v>106039</v>
      </c>
      <c r="S47" s="83">
        <f>SUM(S11:S40)</f>
        <v>102366</v>
      </c>
      <c r="T47" s="83">
        <f>SUM(T11:T40)</f>
        <v>102352</v>
      </c>
      <c r="U47" s="196">
        <v>100174.15</v>
      </c>
      <c r="V47" s="83">
        <f>SUM(V11:V40)</f>
        <v>103163</v>
      </c>
      <c r="W47" s="85">
        <f>AVERAGE(W11:W40)</f>
        <v>43.93333333333333</v>
      </c>
      <c r="X47" s="85">
        <f>SUM(X11:X40)</f>
        <v>105</v>
      </c>
      <c r="Y47" s="85">
        <f>AVERAGE(Y11:Y40)</f>
        <v>44.8</v>
      </c>
      <c r="Z47" s="85">
        <f>SUM(Z11:Z40)</f>
        <v>79</v>
      </c>
      <c r="AA47" s="85">
        <f>AVERAGE(AA11:AA40)</f>
        <v>57.6</v>
      </c>
      <c r="AB47" s="85">
        <f>SUM(AB11:AB40)</f>
        <v>128</v>
      </c>
      <c r="AC47" s="86">
        <f>V47-U47+AZ47</f>
        <v>2989.8500000000058</v>
      </c>
      <c r="AD47" s="87">
        <f>(SUM($AD$8:$AD$42))</f>
        <v>-2586</v>
      </c>
      <c r="AE47" s="87">
        <f>AVERAGE(AE11:AE40)</f>
        <v>147.66666666666666</v>
      </c>
      <c r="AF47" s="88">
        <f>AVERAGE(AF11:AF40)</f>
        <v>0.97039188718341451</v>
      </c>
      <c r="AG47" s="90">
        <f>AVERAGE(AG11:AG40)</f>
        <v>147.27638888888887</v>
      </c>
      <c r="AH47" s="88">
        <f>U47/R47</f>
        <v>0.94469157574100093</v>
      </c>
      <c r="AI47" s="88">
        <f>AVERAGE(AI11:AI40)</f>
        <v>0.99754361929957169</v>
      </c>
      <c r="AJ47" s="88">
        <f>AVERAGE(AJ11:AJ40)</f>
        <v>0.97781189095077892</v>
      </c>
      <c r="AK47" s="89">
        <f>SUM(AK11:AK40)</f>
        <v>284.00799999999998</v>
      </c>
      <c r="AL47" s="89">
        <f>AVERAGE(AL11:AL40)</f>
        <v>136.49399999999997</v>
      </c>
      <c r="AM47" s="89">
        <f>SUM(AM11:AM40)</f>
        <v>38765.94666999999</v>
      </c>
      <c r="AN47" s="89">
        <f>SUM(AN11:AN40)</f>
        <v>853.10302200000001</v>
      </c>
      <c r="AO47" s="87">
        <f>AVERAGE(AO11:AO40)</f>
        <v>976.94182990804984</v>
      </c>
      <c r="AP47" s="90">
        <f>SUM(AP11:AP40)</f>
        <v>833393.64628750226</v>
      </c>
      <c r="AQ47" s="91">
        <f>((AM47+AP47))/(U47*1000)*1000000</f>
        <v>8706.4336753294356</v>
      </c>
      <c r="AR47" s="106">
        <f>AVERAGE(AR11:AR40)</f>
        <v>142.17500000000001</v>
      </c>
      <c r="AS47" s="13"/>
      <c r="AT47" s="93">
        <f t="shared" ref="AT47:AZ47" si="43">SUM(AT11:AT40)</f>
        <v>20</v>
      </c>
      <c r="AU47" s="93">
        <f t="shared" si="43"/>
        <v>21</v>
      </c>
      <c r="AV47" s="93">
        <f t="shared" si="43"/>
        <v>16</v>
      </c>
      <c r="AW47" s="93">
        <f t="shared" si="43"/>
        <v>33</v>
      </c>
      <c r="AX47" s="93">
        <f t="shared" si="43"/>
        <v>148</v>
      </c>
      <c r="AY47" s="93">
        <f t="shared" si="43"/>
        <v>8657</v>
      </c>
      <c r="AZ47" s="93">
        <f t="shared" si="43"/>
        <v>1</v>
      </c>
      <c r="BA47" s="4"/>
      <c r="BB47" s="94">
        <f>SUM(BB11:BB40)</f>
        <v>31633</v>
      </c>
      <c r="BC47" s="94">
        <f>SUM(BC11:BC40)</f>
        <v>32287</v>
      </c>
      <c r="BD47" s="94">
        <f>SUM(BD11:BD40)</f>
        <v>39243</v>
      </c>
      <c r="BE47" s="6">
        <f>(BC47-BB47)</f>
        <v>654</v>
      </c>
      <c r="BF47" s="95">
        <f t="shared" si="27"/>
        <v>8706.4336753294356</v>
      </c>
      <c r="BG47" s="95">
        <f>AVERAGE(BG11:BG40)</f>
        <v>54.504166666666677</v>
      </c>
      <c r="BH47" s="95">
        <f>SUM(BH11:BH40)</f>
        <v>47.121000000000016</v>
      </c>
      <c r="BI47" s="95">
        <f>SUM(BI11:BI40)</f>
        <v>47.121000000000009</v>
      </c>
      <c r="BJ47" s="95">
        <f>AVERAGE(BJ11:BJ40)</f>
        <v>28.348666666666663</v>
      </c>
      <c r="BK47" s="95">
        <f>AVERAGE(BK11:BK40)</f>
        <v>26.948333333333334</v>
      </c>
      <c r="BL47" s="95">
        <f>AVERAGE(BL11:BL40)</f>
        <v>22.056666666666672</v>
      </c>
      <c r="BM47" s="95">
        <f t="shared" ref="BM47:BR47" si="44">AVERAGE(BM11:BM40)</f>
        <v>27.401999999999997</v>
      </c>
      <c r="BN47" s="95">
        <f t="shared" si="44"/>
        <v>987.45233333333329</v>
      </c>
      <c r="BO47" s="95">
        <f t="shared" si="44"/>
        <v>50.054999999999986</v>
      </c>
      <c r="BP47" s="95">
        <f t="shared" si="44"/>
        <v>0.9373999999999999</v>
      </c>
      <c r="BQ47" s="95">
        <f t="shared" si="44"/>
        <v>96.171666666666667</v>
      </c>
      <c r="BR47" s="95">
        <f t="shared" si="44"/>
        <v>86.389333333333298</v>
      </c>
      <c r="BS47" s="95">
        <f>AVERAGE(BS11:BS40)</f>
        <v>12082.433333333332</v>
      </c>
      <c r="BT47" s="95">
        <f>AVERAGE(BT11:BT40)</f>
        <v>11752.9</v>
      </c>
      <c r="BU47" s="6"/>
      <c r="BV47" s="97">
        <f>(SUM(BV11:BV40))</f>
        <v>94.242000000000033</v>
      </c>
      <c r="BW47" s="97">
        <f>(SUM(BW11:BW40))</f>
        <v>575.57999999999993</v>
      </c>
      <c r="BX47" s="97">
        <f>(SUM(BX11:BX40))</f>
        <v>575.43000000000006</v>
      </c>
      <c r="BZ47" s="97">
        <f>(SUM(BZ11:BZ40))</f>
        <v>716.92</v>
      </c>
      <c r="CA47" s="97">
        <f>(SUM(CA11:CA40))</f>
        <v>224.01</v>
      </c>
      <c r="CC47" s="97"/>
      <c r="CD47" s="97"/>
      <c r="CE47" s="97"/>
      <c r="CF47" s="97"/>
    </row>
    <row r="48" spans="1:84" ht="15.75" thickBot="1">
      <c r="A48" s="98"/>
      <c r="B48" s="99" t="s">
        <v>84</v>
      </c>
      <c r="C48" s="100" t="s">
        <v>85</v>
      </c>
      <c r="D48" s="101" t="s">
        <v>86</v>
      </c>
      <c r="E48" s="101"/>
      <c r="F48" s="102" t="s">
        <v>87</v>
      </c>
      <c r="G48" s="102" t="s">
        <v>88</v>
      </c>
      <c r="H48" s="102" t="s">
        <v>75</v>
      </c>
      <c r="I48" s="102" t="s">
        <v>76</v>
      </c>
      <c r="J48" s="102" t="s">
        <v>75</v>
      </c>
      <c r="K48" s="102" t="s">
        <v>76</v>
      </c>
      <c r="L48" s="102" t="s">
        <v>75</v>
      </c>
      <c r="M48" s="102" t="s">
        <v>76</v>
      </c>
      <c r="N48" s="102" t="s">
        <v>75</v>
      </c>
      <c r="O48" s="102" t="s">
        <v>76</v>
      </c>
      <c r="P48" s="102" t="s">
        <v>75</v>
      </c>
      <c r="Q48" s="102" t="s">
        <v>76</v>
      </c>
      <c r="R48" s="103" t="s">
        <v>91</v>
      </c>
      <c r="S48" s="103" t="s">
        <v>91</v>
      </c>
      <c r="T48" s="103" t="s">
        <v>91</v>
      </c>
      <c r="U48" s="103" t="s">
        <v>91</v>
      </c>
      <c r="V48" s="103" t="s">
        <v>91</v>
      </c>
      <c r="W48" s="103" t="s">
        <v>92</v>
      </c>
      <c r="X48" s="103" t="s">
        <v>93</v>
      </c>
      <c r="Y48" s="103" t="s">
        <v>94</v>
      </c>
      <c r="Z48" s="103" t="s">
        <v>93</v>
      </c>
      <c r="AA48" s="103" t="s">
        <v>94</v>
      </c>
      <c r="AB48" s="103" t="s">
        <v>93</v>
      </c>
      <c r="AC48" s="103" t="s">
        <v>95</v>
      </c>
      <c r="AD48" s="103" t="s">
        <v>96</v>
      </c>
      <c r="AE48" s="103" t="s">
        <v>97</v>
      </c>
      <c r="AF48" s="103" t="s">
        <v>98</v>
      </c>
      <c r="AG48" s="103" t="s">
        <v>99</v>
      </c>
      <c r="AH48" s="103" t="s">
        <v>99</v>
      </c>
      <c r="AI48" s="103"/>
      <c r="AJ48" s="103" t="s">
        <v>99</v>
      </c>
      <c r="AK48" s="103" t="s">
        <v>100</v>
      </c>
      <c r="AL48" s="103" t="s">
        <v>99</v>
      </c>
      <c r="AM48" s="103"/>
      <c r="AN48" s="103" t="s">
        <v>100</v>
      </c>
      <c r="AO48" s="103" t="s">
        <v>99</v>
      </c>
      <c r="AP48" s="104"/>
      <c r="AQ48" s="105" t="s">
        <v>99</v>
      </c>
      <c r="AR48" s="106"/>
      <c r="AS48" s="107"/>
      <c r="AZ48" s="108" t="s">
        <v>100</v>
      </c>
      <c r="BA48" s="4"/>
      <c r="BF48" s="109" t="str">
        <f t="shared" si="27"/>
        <v>Avg.</v>
      </c>
      <c r="BS48" s="5"/>
      <c r="BT48" s="5"/>
      <c r="BU48" s="6"/>
    </row>
    <row r="49" spans="1:73" ht="15.75" thickBot="1">
      <c r="B49" s="110"/>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c r="AB49" s="110"/>
      <c r="AC49" s="110"/>
      <c r="AD49" s="110"/>
      <c r="AE49" s="110"/>
      <c r="AF49" s="110"/>
      <c r="AG49" s="110"/>
      <c r="AH49" s="110"/>
      <c r="AI49" s="110"/>
      <c r="AJ49" s="110"/>
      <c r="AK49" s="110"/>
      <c r="AL49" s="110"/>
      <c r="AM49" s="111"/>
      <c r="AQ49" s="112"/>
      <c r="AR49" s="112"/>
      <c r="AS49" s="4"/>
      <c r="BA49" s="113"/>
      <c r="BB49" s="114"/>
      <c r="BC49" s="114"/>
      <c r="BD49" s="114"/>
      <c r="BE49" s="6"/>
      <c r="BS49" s="5"/>
      <c r="BT49" s="5"/>
      <c r="BU49" s="6"/>
    </row>
    <row r="50" spans="1:73" ht="60.75" thickBot="1">
      <c r="B50" s="115" t="s">
        <v>101</v>
      </c>
      <c r="C50" s="116" t="s">
        <v>102</v>
      </c>
      <c r="D50" s="116" t="s">
        <v>103</v>
      </c>
      <c r="E50" s="277"/>
      <c r="F50" s="428" t="s">
        <v>104</v>
      </c>
      <c r="G50" s="429"/>
      <c r="H50" s="428" t="s">
        <v>105</v>
      </c>
      <c r="I50" s="429"/>
      <c r="J50" s="428" t="s">
        <v>106</v>
      </c>
      <c r="K50" s="429"/>
      <c r="L50" s="428" t="s">
        <v>107</v>
      </c>
      <c r="M50" s="429"/>
      <c r="N50" s="428" t="s">
        <v>108</v>
      </c>
      <c r="O50" s="429"/>
      <c r="P50" s="428" t="s">
        <v>109</v>
      </c>
      <c r="Q50" s="429"/>
      <c r="R50" s="117" t="s">
        <v>110</v>
      </c>
      <c r="S50" s="118" t="s">
        <v>111</v>
      </c>
      <c r="T50" s="119" t="s">
        <v>112</v>
      </c>
      <c r="U50" s="116" t="s">
        <v>11</v>
      </c>
      <c r="V50" s="119" t="s">
        <v>12</v>
      </c>
      <c r="W50" s="116" t="s">
        <v>113</v>
      </c>
      <c r="X50" s="116" t="s">
        <v>14</v>
      </c>
      <c r="Y50" s="116" t="s">
        <v>114</v>
      </c>
      <c r="Z50" s="116" t="s">
        <v>16</v>
      </c>
      <c r="AA50" s="116" t="s">
        <v>18</v>
      </c>
      <c r="AB50" s="116" t="s">
        <v>17</v>
      </c>
      <c r="AC50" s="118" t="s">
        <v>19</v>
      </c>
      <c r="AD50" s="120" t="s">
        <v>20</v>
      </c>
      <c r="AE50" s="121" t="s">
        <v>21</v>
      </c>
      <c r="AF50" s="121" t="s">
        <v>22</v>
      </c>
      <c r="AG50" s="121" t="s">
        <v>115</v>
      </c>
      <c r="AH50" s="122" t="s">
        <v>116</v>
      </c>
      <c r="AI50" s="122" t="s">
        <v>25</v>
      </c>
      <c r="AJ50" s="123" t="s">
        <v>26</v>
      </c>
      <c r="AK50" s="119" t="s">
        <v>117</v>
      </c>
      <c r="AL50" s="124" t="s">
        <v>28</v>
      </c>
      <c r="AM50" s="124" t="s">
        <v>29</v>
      </c>
      <c r="AN50" s="119" t="s">
        <v>118</v>
      </c>
      <c r="AO50" s="124" t="s">
        <v>119</v>
      </c>
      <c r="AP50" s="124" t="s">
        <v>32</v>
      </c>
      <c r="AQ50" s="123" t="s">
        <v>120</v>
      </c>
      <c r="AR50" s="125"/>
      <c r="AS50" s="125"/>
      <c r="BA50" s="113"/>
      <c r="BB50" s="114"/>
      <c r="BC50" s="114"/>
      <c r="BD50" s="114"/>
      <c r="BE50" s="126">
        <f>AVERAGE(BE27:BE30)</f>
        <v>19</v>
      </c>
      <c r="BS50" s="5"/>
      <c r="BT50" s="5"/>
      <c r="BU50" s="6"/>
    </row>
    <row r="51" spans="1:73">
      <c r="B51" s="127" t="s">
        <v>165</v>
      </c>
      <c r="C51" s="128">
        <f>IF(C5=0,"no data",AVERAGE(C5:C11))</f>
        <v>82.738571428571433</v>
      </c>
      <c r="D51" s="128">
        <f>IF(D5=0,"no data",AVERAGE(D5:D11))*100</f>
        <v>50.029999999999994</v>
      </c>
      <c r="E51" s="128">
        <f>IF(E5=0,"no data",AVERAGE(E5:E11))</f>
        <v>64.338571428571427</v>
      </c>
      <c r="F51" s="128">
        <f>IF(F5=0,"no data",AVERAGE(F5:F11))</f>
        <v>97.857142857142861</v>
      </c>
      <c r="G51" s="128">
        <f>IF(G5=0,"no data",AVERAGE(G5:G11))</f>
        <v>68.428571428571431</v>
      </c>
      <c r="H51" s="128">
        <f>SUM(H5:H11)+INT(SUM(I5:I11)/60)</f>
        <v>155</v>
      </c>
      <c r="I51" s="128">
        <f>SUM(I5:I11)-INT(SUM(I5:I11)/60)*60</f>
        <v>8</v>
      </c>
      <c r="J51" s="128">
        <f>SUM(J5:J11)+INT(SUM(K5:K11)/60)</f>
        <v>168</v>
      </c>
      <c r="K51" s="128">
        <f>SUM(K5:K11)-INT(SUM(K5:K11)/60)*60</f>
        <v>0</v>
      </c>
      <c r="L51" s="128">
        <f>SUM(L5:L11)+INT(SUM(M5:M11)/60)</f>
        <v>0</v>
      </c>
      <c r="M51" s="128">
        <f>SUM(M5:M11)-INT(SUM(M5:M11)/60)*60</f>
        <v>0</v>
      </c>
      <c r="N51" s="128">
        <f>SUM(N5:N11)+INT(SUM(O5:O11)/60)</f>
        <v>0</v>
      </c>
      <c r="O51" s="128">
        <f>SUM(O5:O11)-INT(SUM(O5:O11)/60)*60</f>
        <v>0</v>
      </c>
      <c r="P51" s="128">
        <f>SUM(P5:P11)+INT(SUM(Q5:Q11)/60)</f>
        <v>143</v>
      </c>
      <c r="Q51" s="128">
        <f>SUM(Q5:Q11)-INT(SUM(Q5:Q11)/60)*60</f>
        <v>8</v>
      </c>
      <c r="R51" s="130">
        <f>IF(C5=0,"no data", AVERAGE(R5:R11))</f>
        <v>3567</v>
      </c>
      <c r="S51" s="130">
        <f>IF(D5=0,"no data", AVERAGE(S5:S11))</f>
        <v>3359.2857142857142</v>
      </c>
      <c r="T51" s="130">
        <f>IF(E5=0,"no data", AVERAGE(T5:T11))</f>
        <v>3359.2857142857142</v>
      </c>
      <c r="U51" s="139">
        <f>IF(U5=0,"no data", SUM(U5:U11))</f>
        <v>23071</v>
      </c>
      <c r="V51" s="139">
        <f>IF(V5=0,"no data", SUM(V5:V11))</f>
        <v>23817</v>
      </c>
      <c r="W51" s="131">
        <f>IF(W5=0,"no data", AVERAGE(W5:W11))</f>
        <v>44.142857142857146</v>
      </c>
      <c r="X51" s="140">
        <f>IF(AND(X5=0,X6=0,X7=0,X8=0,X9=0,X10=0,X11=0),"No outage",SUM(X5:X11))</f>
        <v>744</v>
      </c>
      <c r="Y51" s="131">
        <f>IF(Y5=0,"no data", AVERAGE(Y5:Y11))</f>
        <v>45.142857142857146</v>
      </c>
      <c r="Z51" s="140" t="str">
        <f>IF(AND(Z5=0,Z6=0,Z7=0,Z8=0,Z9=0,Z10=0,Z11=0),"No outage",SUM(Z5:Z11))</f>
        <v>No outage</v>
      </c>
      <c r="AA51" s="132" t="str">
        <f>IF(AND(AB5=0,AB6=0,AB7=0,AB8=0,AB9=0, AB10=0,AB11=0),"No outage",SUM(AB5:AB11))</f>
        <v>No outage</v>
      </c>
      <c r="AB51" s="132">
        <f>IF(AA5=0,"no data", AVERAGE(AA5:AA11))</f>
        <v>58.285714285714285</v>
      </c>
      <c r="AC51" s="128" t="str">
        <f>IF(Z5=0,"no data", SUM(AC5:AC11))</f>
        <v>no data</v>
      </c>
      <c r="AD51" s="128">
        <f>IF(AD5=0,"no data", SUM(AD5:AD11))</f>
        <v>-444</v>
      </c>
      <c r="AE51" s="131">
        <f t="shared" ref="AE51:AJ51" si="45">IF(AE5=0,"no data", AVERAGE(AE5:AE11))</f>
        <v>152.14285714285714</v>
      </c>
      <c r="AF51" s="133">
        <f t="shared" si="45"/>
        <v>0.93203231731289016</v>
      </c>
      <c r="AG51" s="132">
        <f t="shared" si="45"/>
        <v>148.625</v>
      </c>
      <c r="AH51" s="133">
        <f t="shared" si="45"/>
        <v>0.92422790676832112</v>
      </c>
      <c r="AI51" s="133">
        <f t="shared" si="45"/>
        <v>0.97770853307766059</v>
      </c>
      <c r="AJ51" s="133">
        <f t="shared" si="45"/>
        <v>0.95458259686105185</v>
      </c>
      <c r="AK51" s="132">
        <f>IF(AK5=0,"no data", SUM(AK5:AK11))</f>
        <v>67.587000000000003</v>
      </c>
      <c r="AL51" s="132">
        <f>IF(AL5=0,"no data", AVERAGE(AL5:AL11))</f>
        <v>136.22285714285712</v>
      </c>
      <c r="AM51" s="132">
        <f>AK51*AL51</f>
        <v>9206.8942457142857</v>
      </c>
      <c r="AN51" s="132">
        <f>IF(AN5=0,"no data", SUM(AN5:AN11))</f>
        <v>200.42099999999999</v>
      </c>
      <c r="AO51" s="132">
        <f>IF(AO5=0,"no data", AVERAGE(AO5:AO11))</f>
        <v>962.89857142857159</v>
      </c>
      <c r="AP51" s="132">
        <f>AN51*AO51</f>
        <v>192985.09458428575</v>
      </c>
      <c r="AQ51" s="134">
        <f>IF(AQ5=0,"no data", AVERAGE(AQ5:AQ11))</f>
        <v>8769.1680609468549</v>
      </c>
      <c r="AR51" s="135"/>
      <c r="AS51" s="136"/>
      <c r="BA51" s="113"/>
      <c r="BB51" s="114"/>
      <c r="BC51" s="114"/>
      <c r="BD51" s="114"/>
      <c r="BS51" s="5"/>
      <c r="BT51" s="5"/>
      <c r="BU51" s="6"/>
    </row>
    <row r="52" spans="1:73">
      <c r="B52" s="127" t="s">
        <v>177</v>
      </c>
      <c r="C52" s="137">
        <f>IF(C12=0,"no data", AVERAGE(C12:C18))</f>
        <v>86.057142857142864</v>
      </c>
      <c r="D52" s="138">
        <f>IF(D12=0,"no data", AVERAGE(D12:D18))</f>
        <v>0.49000000000000005</v>
      </c>
      <c r="E52" s="140">
        <f>IF(E12=0,"no data", AVERAGE(E12:E18))</f>
        <v>65.671428571428564</v>
      </c>
      <c r="F52" s="137">
        <f>IF(F12=0,"no data", AVERAGE(F12:F18))</f>
        <v>99.285714285714292</v>
      </c>
      <c r="G52" s="137">
        <f>IF(G12=0,"no data", AVERAGE(G12:G18))</f>
        <v>73.857142857142861</v>
      </c>
      <c r="H52" s="137">
        <f>SUM(H12:H18)+INT(SUM(I12:I18)/60)</f>
        <v>168</v>
      </c>
      <c r="I52" s="137">
        <f>SUM(I12:I18)-INT(SUM(J12:J18)/60)</f>
        <v>-2</v>
      </c>
      <c r="J52" s="137">
        <f>SUM(J12:J18)+INT(SUM(K12:K18)/60)</f>
        <v>168</v>
      </c>
      <c r="K52" s="137">
        <f>SUM(K12:K18)-INT(SUM(L12:L18)/60)*60</f>
        <v>0</v>
      </c>
      <c r="L52" s="137">
        <f>SUM(L12:L18)+INT(SUM(M12:M18)/60)</f>
        <v>0</v>
      </c>
      <c r="M52" s="137">
        <f>SUM(M12:M18)-INT(SUM(N12:N18)/60)*60</f>
        <v>0</v>
      </c>
      <c r="N52" s="137">
        <f>SUM(N12:N18)+INT(SUM(O12:O18)/60)</f>
        <v>0</v>
      </c>
      <c r="O52" s="137">
        <v>0</v>
      </c>
      <c r="P52" s="137">
        <f>SUM(P12:P18)+INT(SUM(Q12:Q18)/60)</f>
        <v>144</v>
      </c>
      <c r="Q52" s="137">
        <f>SUM(Q8:Q12)-INT(SUM(Q12:Q18)/60)*60</f>
        <v>0</v>
      </c>
      <c r="R52" s="139">
        <f>IF(R12=0,"no data", AVERAGE(R12:R18))</f>
        <v>3537.2857142857142</v>
      </c>
      <c r="S52" s="139">
        <f>IF(S12=0,"no data", AVERAGE(S12:S18))</f>
        <v>3415.5714285714284</v>
      </c>
      <c r="T52" s="139">
        <f>IF(T12=0,"no data", AVERAGE(T12:T18))</f>
        <v>3415.5714285714284</v>
      </c>
      <c r="U52" s="139">
        <f>IF(U12=0,"no data", SUM(U12:U18))</f>
        <v>23418</v>
      </c>
      <c r="V52" s="139">
        <f>IF(V12=0,"no data", SUM(V12:V18))</f>
        <v>24176</v>
      </c>
      <c r="W52" s="139">
        <f>IF(W12=0,"no data", AVERAGE(W12:W18))</f>
        <v>43.714285714285715</v>
      </c>
      <c r="X52" s="140" t="str">
        <f>IF(AND(X12=0,X13=0,X14=0,X15=0,X16=0,X17=0,X18=0),"No outage",SUM(X12:X18))</f>
        <v>No outage</v>
      </c>
      <c r="Y52" s="139">
        <f>IF(Y12=0,"no data", AVERAGE(Y12:Y18))</f>
        <v>44.428571428571431</v>
      </c>
      <c r="Z52" s="140" t="str">
        <f>IF(AND(Z12=0,Z13=0,Z14=0,Z15=0,Z16=0,Z17=0,Z18=0),"No outage",SUM(Z12:Z18))</f>
        <v>No outage</v>
      </c>
      <c r="AA52" s="132" t="str">
        <f>IF(AND(AB12=0,AB13=0,AB14=0,AB15=0,AB16=0, AB17=0,AB18=0),"No outage",SUM(AB12:AB18))</f>
        <v>No outage</v>
      </c>
      <c r="AB52" s="132">
        <f>IF(AA6=12,"no data", AVERAGE(AA12:AA18))</f>
        <v>57.285714285714285</v>
      </c>
      <c r="AC52" s="139">
        <f>IF(AC12=0,"no data", SUM(AC12:AC18))</f>
        <v>758</v>
      </c>
      <c r="AD52" s="139">
        <f>IF(AD12=0,"no data", SUM(AD12:AD18))</f>
        <v>-491</v>
      </c>
      <c r="AE52" s="139">
        <f t="shared" ref="AE52:AJ52" si="46">IF(AE12=0,"no data", AVERAGE(AE12:AE18))</f>
        <v>146.85714285714286</v>
      </c>
      <c r="AF52" s="141">
        <f t="shared" si="46"/>
        <v>0.97987021936648799</v>
      </c>
      <c r="AG52" s="139">
        <f t="shared" si="46"/>
        <v>147.38690476190479</v>
      </c>
      <c r="AH52" s="141">
        <f t="shared" si="46"/>
        <v>0.94562456871647527</v>
      </c>
      <c r="AI52" s="141">
        <f t="shared" si="46"/>
        <v>1</v>
      </c>
      <c r="AJ52" s="141">
        <f t="shared" si="46"/>
        <v>0.98601398601398593</v>
      </c>
      <c r="AK52" s="142">
        <f>IF(AK12=0,"no data",SUM(AK12:AK18))</f>
        <v>66.05</v>
      </c>
      <c r="AL52" s="143">
        <f>IF(AL12=0,"no data", AVERAGE(AL12:AL18))</f>
        <v>135.63285714285715</v>
      </c>
      <c r="AM52" s="140">
        <f>AK52*AL52</f>
        <v>8958.5502142857149</v>
      </c>
      <c r="AN52" s="140">
        <f>IF(AN12=0,"no data", SUM(AN12:AN18))</f>
        <v>200.523</v>
      </c>
      <c r="AO52" s="142">
        <f>IF(AO12=0,"no data",AVERAGE(AO12:AO18))</f>
        <v>973.55714285714294</v>
      </c>
      <c r="AP52" s="140">
        <f>AN52*AO52</f>
        <v>195220.59895714288</v>
      </c>
      <c r="AQ52" s="144">
        <f>IF(AQ12=0,"no data", AVERAGE(AQ12:AQ18))</f>
        <v>8713.5960410580919</v>
      </c>
      <c r="AR52" s="135"/>
      <c r="AS52" s="136"/>
      <c r="BA52" s="113"/>
      <c r="BC52" s="114"/>
      <c r="BS52" s="5"/>
      <c r="BT52" s="5"/>
      <c r="BU52" s="6"/>
    </row>
    <row r="53" spans="1:73">
      <c r="A53" s="145"/>
      <c r="B53" s="127" t="s">
        <v>178</v>
      </c>
      <c r="C53" s="140">
        <f>IF(C19=0,"no data", AVERAGE(C19:C25))</f>
        <v>84.98</v>
      </c>
      <c r="D53" s="138">
        <f>IF(D19=0,"no data", AVERAGE(D19:D25))</f>
        <v>0.45702857142857145</v>
      </c>
      <c r="E53" s="140">
        <f>IF(E19=0,"no data", AVERAGE(E19:E25))</f>
        <v>63.984285714285711</v>
      </c>
      <c r="F53" s="140">
        <f>IF(F19=0,"no data", AVERAGE(F19:F25))</f>
        <v>96.428571428571431</v>
      </c>
      <c r="G53" s="140">
        <f>IF(G19=0,"no data", AVERAGE(G19:G25))</f>
        <v>72.714285714285708</v>
      </c>
      <c r="H53" s="137">
        <f>SUM(H19:H25)+INT(SUM(I19:I25)/60)</f>
        <v>168</v>
      </c>
      <c r="I53" s="137">
        <f>SUM(I19:I25)-INT(SUM(I25:I25)/60)*60</f>
        <v>0</v>
      </c>
      <c r="J53" s="137">
        <f>SUM(J19:J25)+INT(SUM(K19:K25)/60)</f>
        <v>168</v>
      </c>
      <c r="K53" s="137">
        <f>SUM(K19:K25)-INT(SUM(K19:K25)/60)*60</f>
        <v>0</v>
      </c>
      <c r="L53" s="137">
        <f>SUM(L19:L25)+INT(SUM(M19:M25)/60)</f>
        <v>0</v>
      </c>
      <c r="M53" s="137">
        <f>SUM(M19:M25)-INT(SUM(M19:M25)/60)*60</f>
        <v>0</v>
      </c>
      <c r="N53" s="137">
        <f>SUM(N19:N25)+INT(SUM(O19:O25)/60)</f>
        <v>0</v>
      </c>
      <c r="O53" s="137">
        <f>SUM(O19:O25)-INT(SUM(O19:O25)/60)*60</f>
        <v>0</v>
      </c>
      <c r="P53" s="137">
        <f>SUM(P19:P25)+INT(SUM(Q19:Q25)/60)</f>
        <v>133</v>
      </c>
      <c r="Q53" s="137">
        <f>SUM(Q19:Q25)-INT(SUM(Q19:Q25)/60)*60</f>
        <v>0</v>
      </c>
      <c r="R53" s="139">
        <f>IF(R19=0,"no data", AVERAGE(R19:R25))</f>
        <v>3547.4285714285716</v>
      </c>
      <c r="S53" s="139">
        <f>IF(S19=0,"no data", AVERAGE(S19:S25))</f>
        <v>3423.7142857142858</v>
      </c>
      <c r="T53" s="139">
        <f>IF(T19=0,"no data", AVERAGE(T19:T25))</f>
        <v>3423.7142857142858</v>
      </c>
      <c r="U53" s="146">
        <f>IF(U19=0,"no data", SUM(U19:U25))</f>
        <v>23457</v>
      </c>
      <c r="V53" s="146">
        <f>IF(V19=0,"no data", SUM(V19:V25))</f>
        <v>24205</v>
      </c>
      <c r="W53" s="146">
        <f>IF(W19=0,"no data", AVERAGE(W19:W25))</f>
        <v>44.142857142857146</v>
      </c>
      <c r="X53" s="140" t="str">
        <f>IF(AND(X19=0,X20=0,X21=0,X22=0,X23=0,X24=0,X25=0),"No outage",SUM(X19:X25))</f>
        <v>No outage</v>
      </c>
      <c r="Y53" s="146">
        <f>IF(Y19=0,"no data", AVERAGE(Y19:Y25))</f>
        <v>45</v>
      </c>
      <c r="Z53" s="140" t="str">
        <f>IF(AND(Z19=0,Z20=0,Z21=0,Z22=0,Z23=0,Z24=0,Z25=0),"No outage",SUM(Z19:Z25))</f>
        <v>No outage</v>
      </c>
      <c r="AA53" s="132" t="str">
        <f>IF(AND(AB19=0,AB20=0,AB21=0,AB22=0,AB23=0, AB24=0,AB25=0),"No outage",SUM(AB19:AB25))</f>
        <v>No outage</v>
      </c>
      <c r="AB53" s="132">
        <f>IF(AA19=0,"no data", AVERAGE(AA19:AA25))</f>
        <v>57.428571428571431</v>
      </c>
      <c r="AC53" s="140">
        <f>IF(AC19=0,"no data", SUM(AC19:AC25))</f>
        <v>748</v>
      </c>
      <c r="AD53" s="146">
        <f>IF(AD19=0,"no data", SUM(AD19:AD25))</f>
        <v>-509</v>
      </c>
      <c r="AE53" s="140">
        <f t="shared" ref="AE53:AJ53" si="47">IF(AE19=0,"no data", AVERAGE(AE19:AE25))</f>
        <v>147.85714285714286</v>
      </c>
      <c r="AF53" s="141">
        <f t="shared" si="47"/>
        <v>0.97437755525490621</v>
      </c>
      <c r="AG53" s="140">
        <f t="shared" si="47"/>
        <v>147.80952380952382</v>
      </c>
      <c r="AH53" s="141">
        <f t="shared" si="47"/>
        <v>0.94455729996128157</v>
      </c>
      <c r="AI53" s="141">
        <f t="shared" si="47"/>
        <v>1</v>
      </c>
      <c r="AJ53" s="141">
        <f t="shared" si="47"/>
        <v>0.98043109071687251</v>
      </c>
      <c r="AK53" s="140">
        <f>IF(AK19=0,"no data", SUM(AK19:AK25))</f>
        <v>66.690000000000012</v>
      </c>
      <c r="AL53" s="140">
        <f>IF(AL19=0,"no data", AVERAGE(AL19:AL25))</f>
        <v>136.62714285714284</v>
      </c>
      <c r="AM53" s="140">
        <f>AK53*AL53</f>
        <v>9111.6641571428572</v>
      </c>
      <c r="AN53" s="140">
        <f>IF(AN19=0,"no data", SUM(AN19:AN24))</f>
        <v>174.39975200000001</v>
      </c>
      <c r="AO53" s="140">
        <f>IF(AO19=0,"no data", AVERAGE(AO19:AO24))</f>
        <v>978.72705715067707</v>
      </c>
      <c r="AP53" s="140">
        <f>AN53*AO53</f>
        <v>170689.75604276793</v>
      </c>
      <c r="AQ53" s="144">
        <f>IF(AQ19=0,"no data", AVERAGE(AQ19:AQ25))</f>
        <v>8714.6004601776731</v>
      </c>
      <c r="AR53" s="135"/>
      <c r="AS53" s="136"/>
      <c r="AT53" s="145"/>
      <c r="AU53" s="145"/>
      <c r="AV53" s="145"/>
      <c r="AW53" s="145"/>
      <c r="AY53" s="145"/>
      <c r="AZ53" s="145"/>
      <c r="BA53" s="113"/>
      <c r="BB53" s="145"/>
      <c r="BC53" s="114"/>
      <c r="BD53" s="145"/>
      <c r="BE53" s="145"/>
      <c r="BF53" s="145"/>
      <c r="BG53" s="145"/>
      <c r="BS53" s="5"/>
      <c r="BT53" s="5"/>
      <c r="BU53" s="6"/>
    </row>
    <row r="54" spans="1:73">
      <c r="B54" s="127" t="s">
        <v>179</v>
      </c>
      <c r="C54" s="140">
        <f>IF(C26=0,"no data", AVERAGE(C26:C32))</f>
        <v>80.399999999999991</v>
      </c>
      <c r="D54" s="140">
        <f>IF(D26=0,"no data", AVERAGE(D26:D32))</f>
        <v>0.50384285714285715</v>
      </c>
      <c r="E54" s="140">
        <f>IF(E26=0,"no data", AVERAGE(E26:E32))</f>
        <v>62.594285714285725</v>
      </c>
      <c r="F54" s="140">
        <f>IF(F26=0,"no data", AVERAGE(F26:F32))</f>
        <v>92</v>
      </c>
      <c r="G54" s="140">
        <f>IF(G26=0,"no data", AVERAGE(G26:G32))</f>
        <v>68.142857142857139</v>
      </c>
      <c r="H54" s="137">
        <f>SUM(H26:H32)+INT(SUM(I26:I32)/60)</f>
        <v>168</v>
      </c>
      <c r="I54" s="137">
        <f>SUM(I26:I32)-INT(SUM(I26:I32)/60)*60</f>
        <v>0</v>
      </c>
      <c r="J54" s="137">
        <f>SUM(J26:J32)+INT(SUM(K26:K32)/60)</f>
        <v>168</v>
      </c>
      <c r="K54" s="137">
        <f>SUM(K26:K32)-INT(SUM(K26:K32)/60)*60</f>
        <v>0</v>
      </c>
      <c r="L54" s="137">
        <f>SUM(L26:L32)+INT(SUM(M26:M32)/60)</f>
        <v>0</v>
      </c>
      <c r="M54" s="137">
        <f>SUM(M26:M32)-INT(SUM(M26:M32)/60)*60</f>
        <v>0</v>
      </c>
      <c r="N54" s="137">
        <f>SUM(N26:N32)+INT(SUM(O26:O32)/60)</f>
        <v>0</v>
      </c>
      <c r="O54" s="137">
        <f>SUM(O26:O32)-INT(SUM(O26:O32)/60)*60</f>
        <v>0</v>
      </c>
      <c r="P54" s="137">
        <f>SUM(P26:P32)+INT(SUM(Q26:Q32)/60)</f>
        <v>131</v>
      </c>
      <c r="Q54" s="137">
        <f>SUM(Q26:Q32)-INT(SUM(Q26:Q32)/60)*60</f>
        <v>21</v>
      </c>
      <c r="R54" s="139">
        <f>IF(R26=0,"no data", AVERAGE(R26:R32))</f>
        <v>3590.1428571428573</v>
      </c>
      <c r="S54" s="139">
        <f>IF(S26=0,"no data", AVERAGE(S26:S32))</f>
        <v>3448.5714285714284</v>
      </c>
      <c r="T54" s="139">
        <f>IF(T26=0,"no data", AVERAGE(T26:T32))</f>
        <v>3446.5714285714284</v>
      </c>
      <c r="U54" s="139">
        <f>IF(U26=0,"no data", SUM(U26:U32))</f>
        <v>23615</v>
      </c>
      <c r="V54" s="139">
        <f>IF(V26=0,"no data", SUM(V26:V32))</f>
        <v>24355</v>
      </c>
      <c r="W54" s="146">
        <f>IF(W26=0,"no data", AVERAGE(W26:W32))</f>
        <v>44.571428571428569</v>
      </c>
      <c r="X54" s="140" t="str">
        <f>IF(AND(X26=0,X27=0,X28=0,X29=0,X30=0,X31=0,X32=0),"No outage",SUM(X26:X32))</f>
        <v>No outage</v>
      </c>
      <c r="Y54" s="146">
        <f>IF(Y26=0,"no data", AVERAGE(Y26:Y32))</f>
        <v>45.428571428571431</v>
      </c>
      <c r="Z54" s="140" t="str">
        <f>IF(AND(Z26=0,Z27=0,Z28=0,Z29=0,Z30=0,Z31=0,Z32=0),"No outage",SUM(Z26:Z32))</f>
        <v>No outage</v>
      </c>
      <c r="AA54" s="140">
        <f>IF(AND(AA26=0,AA27=0,AA28=0,AA29=0,AA30=0,AA31=0,AA32=0),"No outage",SUM(AA26:AA32))</f>
        <v>405</v>
      </c>
      <c r="AB54" s="132">
        <f>IF(AA26=0,"no data", AVERAGE(AA26:AA32))</f>
        <v>57.857142857142854</v>
      </c>
      <c r="AC54" s="139">
        <f>IF(AC26=0,"no data", SUM(AC26:AC32))</f>
        <v>740</v>
      </c>
      <c r="AD54" s="139">
        <f>IF(AD26=0,"no data", SUM(AD26:AD32))</f>
        <v>-511</v>
      </c>
      <c r="AE54" s="146">
        <f t="shared" ref="AE54:AJ54" si="48">IF(AE26=0,"no data", AVERAGE(AE26:AE32))</f>
        <v>148.71428571428572</v>
      </c>
      <c r="AF54" s="138">
        <f t="shared" si="48"/>
        <v>0.97496487856820246</v>
      </c>
      <c r="AG54" s="140">
        <f t="shared" si="48"/>
        <v>149.58928571428572</v>
      </c>
      <c r="AH54" s="138">
        <f t="shared" si="48"/>
        <v>0.93962935060713915</v>
      </c>
      <c r="AI54" s="138">
        <f t="shared" si="48"/>
        <v>1</v>
      </c>
      <c r="AJ54" s="138">
        <f t="shared" si="48"/>
        <v>0.97937582360332187</v>
      </c>
      <c r="AK54" s="139">
        <f>IF(AK26=0,"no data", SUM(AK26:AK32))</f>
        <v>66.419999999999987</v>
      </c>
      <c r="AL54" s="140">
        <f>IF(AL26=0,"no data", AVERAGE(AL26:AL32))</f>
        <v>135.6814285714286</v>
      </c>
      <c r="AM54" s="140">
        <f>AK54*AL54</f>
        <v>9011.9604857142858</v>
      </c>
      <c r="AN54" s="140">
        <f>IF(AN26=0,"no data", SUM(AN26:AN32))</f>
        <v>200.80100000000002</v>
      </c>
      <c r="AO54" s="140">
        <f>IF(AO26=0,"no data", AVERAGE(AO26:AO32))</f>
        <v>977.64571428571423</v>
      </c>
      <c r="AP54" s="140">
        <f>AN54*AO54</f>
        <v>196312.23707428572</v>
      </c>
      <c r="AQ54" s="144">
        <f>IF(AQ26=0,"no data", AVERAGE(AQ26:AQ32))</f>
        <v>8691.1306534788055</v>
      </c>
      <c r="AR54" s="135"/>
      <c r="AS54" s="136"/>
      <c r="BA54" s="113"/>
      <c r="BC54" s="114"/>
      <c r="BS54" s="5"/>
      <c r="BT54" s="5"/>
      <c r="BU54" s="6"/>
    </row>
    <row r="55" spans="1:73">
      <c r="B55" s="127" t="s">
        <v>180</v>
      </c>
      <c r="C55" s="140">
        <f>IF(C40=0,"no data", AVERAGE(C40:C46))</f>
        <v>96.1</v>
      </c>
      <c r="D55" s="140">
        <f>IF(D40=0,"no data", AVERAGE(D40:D46))</f>
        <v>0.38</v>
      </c>
      <c r="E55" s="140">
        <f>IF(E40=0,"no data", AVERAGE(E40:E46))</f>
        <v>68.900000000000006</v>
      </c>
      <c r="F55" s="140">
        <f>IF(F40=0,"no data", AVERAGE(F40:F46))</f>
        <v>109</v>
      </c>
      <c r="G55" s="140">
        <f>IF(G40=0,"no data", AVERAGE(G40:G46))</f>
        <v>82</v>
      </c>
      <c r="H55" s="137">
        <f>SUM(H40:H46)+INT(SUM(I40:I46)/60)</f>
        <v>24</v>
      </c>
      <c r="I55" s="137">
        <f>SUM(I40:I46)-INT(SUM(I40:I46)/60)*60</f>
        <v>0</v>
      </c>
      <c r="J55" s="137">
        <f>SUM(J40:J46)+INT(SUM(K40:K46)/60)</f>
        <v>24</v>
      </c>
      <c r="K55" s="137">
        <f>SUM(K40:K46)-INT(SUM(K40:K46)/60)*60</f>
        <v>0</v>
      </c>
      <c r="L55" s="137">
        <f>SUM(L40:L46)+INT(SUM(M40:M46)/60)</f>
        <v>0</v>
      </c>
      <c r="M55" s="137">
        <f>SUM(M40:M46)-INT(SUM(M40:M46)/60)*60</f>
        <v>0</v>
      </c>
      <c r="N55" s="137">
        <f>SUM(N40:N46)+INT(SUM(O40:O46)/60)</f>
        <v>0</v>
      </c>
      <c r="O55" s="137">
        <f>SUM(O40:O46)-INT(SUM(O40:O46)/60)*60</f>
        <v>0</v>
      </c>
      <c r="P55" s="137">
        <f>SUM(P40:P46)+INT(SUM(Q40:Q46)/60)</f>
        <v>11</v>
      </c>
      <c r="Q55" s="137">
        <f>SUM(Q40:Q46)-INT(SUM(Q40:Q46)/60)*60</f>
        <v>0</v>
      </c>
      <c r="R55" s="139">
        <f>IF(R40=0,"no data", AVERAGE(R40:R46))</f>
        <v>3432</v>
      </c>
      <c r="S55" s="139">
        <f>IF(S40=0,"no data", AVERAGE(S40:S46))</f>
        <v>3199</v>
      </c>
      <c r="T55" s="139">
        <f>IF(T40=0,"no data", AVERAGE(T40:T46))</f>
        <v>3199</v>
      </c>
      <c r="U55" s="139">
        <f>IF(U40=0,"no data", SUM(U40:U46))</f>
        <v>3130</v>
      </c>
      <c r="V55" s="139">
        <f>IF(V40=0,"no data", SUM(V40:V46))</f>
        <v>3233</v>
      </c>
      <c r="W55" s="146">
        <f>IF(W40=0,"no data", AVERAGE(W40:W46))</f>
        <v>42</v>
      </c>
      <c r="X55" s="140" t="e">
        <f>IF(AND(X40=0,X41=0,X42=0,X43=0,X44=0,X45=0,#REF!=0),"No outage",SUM(X40:X46))</f>
        <v>#REF!</v>
      </c>
      <c r="Y55" s="146">
        <f>IF(Y40=0,"no data", AVERAGE(Y40:Y46))</f>
        <v>43</v>
      </c>
      <c r="Z55" s="140" t="e">
        <f>IF(AND(Z40=0,Z41=0,Z42=0,Z43=0,Z44=0,Z45=0,#REF!=0),"No outage",SUM(Z40:Z46))</f>
        <v>#REF!</v>
      </c>
      <c r="AA55" s="140" t="e">
        <f>IF(AND(AA40=0,AA41=0,AA42=0,AA43=0,AA44=0,AA45=0,#REF!=0),"No outage",SUM(AA40:AA46))</f>
        <v>#REF!</v>
      </c>
      <c r="AB55" s="132">
        <f>IF(AA40=0,"no data", AVERAGE(AA40:AA46))</f>
        <v>57</v>
      </c>
      <c r="AC55" s="139">
        <f>IF(AC40=0,"no data", SUM(AC40:AC46))</f>
        <v>103</v>
      </c>
      <c r="AD55" s="139">
        <f>IF(AD40=0,"no data", SUM(AD40:AD46))</f>
        <v>-69</v>
      </c>
      <c r="AE55" s="146">
        <f>IF(AE40=0,"no data", AVERAGE(AE40:AE46))</f>
        <v>145</v>
      </c>
      <c r="AF55" s="138">
        <f>IF(AF40=0,"no data", AVERAGE(AF40:AF46))</f>
        <v>0.92902298850574716</v>
      </c>
      <c r="AG55" s="140">
        <f>IF(AG40=0,"no data", AVERAGE(AG40:AG46))</f>
        <v>143</v>
      </c>
      <c r="AH55" s="138">
        <f>IF(AH40=0,"no data", AVERAGE(AH40:AH46))</f>
        <v>0.91200466200466201</v>
      </c>
      <c r="AI55" s="138">
        <f>IF(AI27=0,"no data", AVERAGE(AI40:AI46))</f>
        <v>1</v>
      </c>
      <c r="AJ55" s="138">
        <f>IF(AJ40=0,"no data", AVERAGE(AJ40:AJ46))</f>
        <v>0.94278169014084512</v>
      </c>
      <c r="AK55" s="139">
        <f>IF(AK40=0,"no data", SUM(AK40:AK46))</f>
        <v>9.4809999999999999</v>
      </c>
      <c r="AL55" s="140">
        <f>IF(AL40=0,"no data", AVERAGE(AL40:AL46))</f>
        <v>140.94</v>
      </c>
      <c r="AM55" s="140">
        <f>AK55*AL55</f>
        <v>1336.2521400000001</v>
      </c>
      <c r="AN55" s="140">
        <f>IF(AN40=0,"no data", SUM(AN40:AN46))</f>
        <v>26.73255</v>
      </c>
      <c r="AO55" s="140">
        <f>IF(AO40=0,"no data", AVERAGE(AO40:AO46))</f>
        <v>973.25732113098081</v>
      </c>
      <c r="AP55" s="140">
        <f>AN55*AO55</f>
        <v>26017.65</v>
      </c>
      <c r="AQ55" s="140">
        <f>IF(AQ40=0,"no data", AVERAGE(AQ40:AQ46))</f>
        <v>8739.2658594249206</v>
      </c>
      <c r="AR55" s="135"/>
      <c r="AS55" s="136"/>
      <c r="BA55" s="113"/>
      <c r="BC55" s="114"/>
      <c r="BS55" s="5"/>
      <c r="BT55" s="5"/>
      <c r="BU55" s="6"/>
    </row>
    <row r="56" spans="1:73">
      <c r="B56" s="147"/>
      <c r="C56" s="148"/>
      <c r="D56" s="148"/>
      <c r="E56" s="148"/>
      <c r="F56" s="148"/>
      <c r="G56" s="149"/>
      <c r="H56" s="149"/>
      <c r="I56" s="149"/>
      <c r="J56" s="149"/>
      <c r="K56" s="150"/>
      <c r="L56" s="150"/>
      <c r="M56" s="150"/>
      <c r="N56" s="150"/>
      <c r="O56" s="151"/>
      <c r="P56" s="151"/>
      <c r="Q56" s="148"/>
      <c r="R56" s="148"/>
      <c r="S56" s="148"/>
      <c r="T56" s="148"/>
      <c r="U56" s="148"/>
      <c r="V56" s="148"/>
      <c r="W56" s="148"/>
      <c r="X56" s="148"/>
      <c r="Y56" s="148"/>
      <c r="Z56" s="148"/>
      <c r="AA56" s="148"/>
      <c r="AB56" s="148"/>
      <c r="AC56" s="151"/>
      <c r="AD56" s="151"/>
      <c r="AE56" s="148"/>
      <c r="AF56" s="151"/>
      <c r="AG56" s="151"/>
      <c r="AH56" s="148"/>
      <c r="AI56" s="148"/>
      <c r="AJ56" s="148"/>
      <c r="AK56" s="148"/>
      <c r="AL56" s="148"/>
      <c r="AM56" s="148"/>
      <c r="AQ56" s="126"/>
      <c r="AR56" s="126"/>
      <c r="AS56" s="126"/>
      <c r="AT56" s="126"/>
      <c r="BA56" s="113"/>
      <c r="BC56" s="114"/>
      <c r="BS56" s="5"/>
      <c r="BT56" s="5"/>
      <c r="BU56" s="6"/>
    </row>
    <row r="57" spans="1:73" ht="15.75" thickBot="1">
      <c r="B57" s="147"/>
      <c r="C57" s="148"/>
      <c r="D57" s="148"/>
      <c r="E57" s="148"/>
      <c r="F57" s="148"/>
      <c r="G57" s="149"/>
      <c r="H57" s="149"/>
      <c r="I57" s="149"/>
      <c r="J57" s="149"/>
      <c r="K57" s="150"/>
      <c r="L57" s="150"/>
      <c r="M57" s="150"/>
      <c r="N57" s="150"/>
      <c r="O57" s="151"/>
      <c r="P57" s="151"/>
      <c r="Q57" s="148"/>
      <c r="R57" s="148"/>
      <c r="S57" s="148"/>
      <c r="T57" s="148"/>
      <c r="U57" s="148"/>
      <c r="V57" s="148"/>
      <c r="W57" s="148"/>
      <c r="X57" s="148"/>
      <c r="Y57" s="148"/>
      <c r="Z57" s="148"/>
      <c r="AA57" s="148"/>
      <c r="AB57" s="148"/>
      <c r="AC57" s="151"/>
      <c r="AD57" s="151"/>
      <c r="AE57" s="148"/>
      <c r="AF57" s="151"/>
      <c r="AG57" s="151"/>
      <c r="AH57" s="148"/>
      <c r="AI57" s="148"/>
      <c r="AJ57" s="148"/>
      <c r="AK57" s="148"/>
      <c r="AL57" s="148"/>
      <c r="AM57" s="148"/>
      <c r="AQ57" s="126"/>
      <c r="AR57" s="126"/>
      <c r="AS57" s="126"/>
      <c r="AT57" s="126"/>
      <c r="BA57" s="113"/>
      <c r="BC57" s="114"/>
      <c r="BS57" s="5"/>
      <c r="BT57" s="5"/>
      <c r="BU57" s="6"/>
    </row>
    <row r="58" spans="1:73" ht="16.5" thickTop="1">
      <c r="B58" s="152" t="s">
        <v>121</v>
      </c>
      <c r="C58" s="430" t="s">
        <v>122</v>
      </c>
      <c r="D58" s="431"/>
      <c r="E58" s="431"/>
      <c r="F58" s="431"/>
      <c r="G58" s="431"/>
      <c r="H58" s="431"/>
      <c r="I58" s="431"/>
      <c r="J58" s="431"/>
      <c r="K58" s="431"/>
      <c r="L58" s="431"/>
      <c r="M58" s="431"/>
      <c r="N58" s="431"/>
      <c r="O58" s="431"/>
      <c r="P58" s="431"/>
      <c r="Q58" s="431"/>
      <c r="R58" s="431"/>
      <c r="S58" s="431"/>
      <c r="T58" s="431"/>
      <c r="U58" s="431"/>
      <c r="V58" s="431"/>
      <c r="W58" s="431"/>
      <c r="X58" s="431"/>
      <c r="Y58" s="431"/>
      <c r="Z58" s="431"/>
      <c r="AA58" s="431"/>
      <c r="AB58" s="431"/>
      <c r="AC58" s="431"/>
      <c r="AD58" s="431"/>
      <c r="AE58" s="432"/>
      <c r="AF58" s="151"/>
      <c r="AG58" s="151"/>
      <c r="AH58" s="148"/>
      <c r="AI58" s="148"/>
      <c r="AJ58" s="148"/>
      <c r="AK58" s="148"/>
      <c r="AL58" s="148"/>
      <c r="AM58" s="148"/>
      <c r="AQ58" s="126"/>
      <c r="AR58" s="126"/>
      <c r="AS58" s="126"/>
      <c r="AT58" s="126"/>
      <c r="BA58" s="113"/>
      <c r="BS58" s="5"/>
      <c r="BT58" s="5"/>
      <c r="BU58" s="6"/>
    </row>
    <row r="59" spans="1:73" ht="15.75">
      <c r="B59" s="153">
        <v>43191</v>
      </c>
      <c r="C59" s="416" t="s">
        <v>151</v>
      </c>
      <c r="D59" s="417"/>
      <c r="E59" s="417"/>
      <c r="F59" s="417"/>
      <c r="G59" s="417"/>
      <c r="H59" s="417"/>
      <c r="I59" s="417"/>
      <c r="J59" s="417"/>
      <c r="K59" s="417"/>
      <c r="L59" s="417"/>
      <c r="M59" s="417"/>
      <c r="N59" s="417"/>
      <c r="O59" s="417"/>
      <c r="P59" s="417"/>
      <c r="Q59" s="417"/>
      <c r="R59" s="417"/>
      <c r="S59" s="417"/>
      <c r="T59" s="417"/>
      <c r="U59" s="417"/>
      <c r="V59" s="417"/>
      <c r="W59" s="417"/>
      <c r="X59" s="417"/>
      <c r="Y59" s="417"/>
      <c r="Z59" s="417"/>
      <c r="AA59" s="417"/>
      <c r="AB59" s="417"/>
      <c r="AC59" s="417"/>
      <c r="AD59" s="417"/>
      <c r="AE59" s="418"/>
      <c r="AF59" s="151"/>
      <c r="AG59" s="151"/>
      <c r="AH59" s="148"/>
      <c r="AI59" s="148"/>
      <c r="AJ59" s="148"/>
      <c r="AK59" s="148"/>
      <c r="AL59" s="148"/>
      <c r="AM59" s="148"/>
      <c r="AQ59" s="126"/>
      <c r="AR59" s="126"/>
      <c r="AS59" s="126"/>
      <c r="AT59" s="126"/>
      <c r="BA59" s="113"/>
      <c r="BS59" s="5"/>
      <c r="BT59" s="5"/>
      <c r="BU59" s="6"/>
    </row>
    <row r="60" spans="1:73" ht="15.75">
      <c r="B60" s="153">
        <v>43192</v>
      </c>
      <c r="C60" s="416" t="s">
        <v>151</v>
      </c>
      <c r="D60" s="417"/>
      <c r="E60" s="417"/>
      <c r="F60" s="417"/>
      <c r="G60" s="417"/>
      <c r="H60" s="417"/>
      <c r="I60" s="417"/>
      <c r="J60" s="417"/>
      <c r="K60" s="417"/>
      <c r="L60" s="417"/>
      <c r="M60" s="417"/>
      <c r="N60" s="417"/>
      <c r="O60" s="417"/>
      <c r="P60" s="417"/>
      <c r="Q60" s="417"/>
      <c r="R60" s="417"/>
      <c r="S60" s="417"/>
      <c r="T60" s="417"/>
      <c r="U60" s="417"/>
      <c r="V60" s="417"/>
      <c r="W60" s="417"/>
      <c r="X60" s="417"/>
      <c r="Y60" s="417"/>
      <c r="Z60" s="417"/>
      <c r="AA60" s="417"/>
      <c r="AB60" s="417"/>
      <c r="AC60" s="417"/>
      <c r="AD60" s="417"/>
      <c r="AE60" s="418"/>
      <c r="AF60" s="151"/>
      <c r="AG60" s="151"/>
      <c r="AH60" s="148"/>
      <c r="AI60" s="148"/>
      <c r="AJ60" s="148"/>
      <c r="AK60" s="148"/>
      <c r="AL60" s="148"/>
      <c r="AM60" s="148"/>
      <c r="AQ60" s="126"/>
      <c r="AR60" s="126"/>
      <c r="AS60" s="126"/>
      <c r="AT60" s="126"/>
      <c r="BA60" s="113"/>
      <c r="BS60" s="5"/>
      <c r="BT60" s="5"/>
      <c r="BU60" s="6"/>
    </row>
    <row r="61" spans="1:73" ht="15.75">
      <c r="B61" s="153">
        <v>43193</v>
      </c>
      <c r="C61" s="416" t="s">
        <v>151</v>
      </c>
      <c r="D61" s="417"/>
      <c r="E61" s="417"/>
      <c r="F61" s="417"/>
      <c r="G61" s="417"/>
      <c r="H61" s="417"/>
      <c r="I61" s="417"/>
      <c r="J61" s="417"/>
      <c r="K61" s="417"/>
      <c r="L61" s="417"/>
      <c r="M61" s="417"/>
      <c r="N61" s="417"/>
      <c r="O61" s="417"/>
      <c r="P61" s="417"/>
      <c r="Q61" s="417"/>
      <c r="R61" s="417"/>
      <c r="S61" s="417"/>
      <c r="T61" s="417"/>
      <c r="U61" s="417"/>
      <c r="V61" s="417"/>
      <c r="W61" s="417"/>
      <c r="X61" s="417"/>
      <c r="Y61" s="417"/>
      <c r="Z61" s="417"/>
      <c r="AA61" s="417"/>
      <c r="AB61" s="417"/>
      <c r="AC61" s="417"/>
      <c r="AD61" s="417"/>
      <c r="AE61" s="418"/>
      <c r="AF61" s="151"/>
      <c r="AG61" s="151"/>
      <c r="AH61" s="148"/>
      <c r="AI61" s="148"/>
      <c r="AJ61" s="148"/>
      <c r="AK61" s="148"/>
      <c r="AL61" s="148"/>
      <c r="AM61" s="148"/>
      <c r="AQ61" s="126"/>
      <c r="AR61" s="126"/>
      <c r="AS61" s="126"/>
      <c r="AT61" s="126"/>
      <c r="BA61" s="113"/>
      <c r="BS61" s="5"/>
      <c r="BT61" s="5"/>
      <c r="BU61" s="6"/>
    </row>
    <row r="62" spans="1:73" ht="15.75">
      <c r="B62" s="153">
        <v>43194</v>
      </c>
      <c r="C62" s="416" t="s">
        <v>151</v>
      </c>
      <c r="D62" s="417"/>
      <c r="E62" s="417"/>
      <c r="F62" s="417"/>
      <c r="G62" s="417"/>
      <c r="H62" s="417"/>
      <c r="I62" s="417"/>
      <c r="J62" s="417"/>
      <c r="K62" s="417"/>
      <c r="L62" s="417"/>
      <c r="M62" s="417"/>
      <c r="N62" s="417"/>
      <c r="O62" s="417"/>
      <c r="P62" s="417"/>
      <c r="Q62" s="417"/>
      <c r="R62" s="417"/>
      <c r="S62" s="417"/>
      <c r="T62" s="417"/>
      <c r="U62" s="417"/>
      <c r="V62" s="417"/>
      <c r="W62" s="417"/>
      <c r="X62" s="417"/>
      <c r="Y62" s="417"/>
      <c r="Z62" s="417"/>
      <c r="AA62" s="417"/>
      <c r="AB62" s="417"/>
      <c r="AC62" s="417"/>
      <c r="AD62" s="417"/>
      <c r="AE62" s="418"/>
      <c r="AF62" s="151"/>
      <c r="AG62" s="151"/>
      <c r="AH62" s="148"/>
      <c r="AI62" s="148"/>
      <c r="AJ62" s="148"/>
      <c r="AK62" s="148"/>
      <c r="AL62" s="148"/>
      <c r="AM62" s="148"/>
      <c r="AQ62" s="126"/>
      <c r="AR62" s="126"/>
      <c r="AS62" s="126"/>
      <c r="AT62" s="126"/>
      <c r="BA62" s="113"/>
      <c r="BS62" s="5"/>
      <c r="BT62" s="5"/>
      <c r="BU62" s="6"/>
    </row>
    <row r="63" spans="1:73" ht="15.75">
      <c r="B63" s="153">
        <v>43195</v>
      </c>
      <c r="C63" s="416" t="s">
        <v>151</v>
      </c>
      <c r="D63" s="417"/>
      <c r="E63" s="417"/>
      <c r="F63" s="417"/>
      <c r="G63" s="417"/>
      <c r="H63" s="417"/>
      <c r="I63" s="417"/>
      <c r="J63" s="417"/>
      <c r="K63" s="417"/>
      <c r="L63" s="417"/>
      <c r="M63" s="417"/>
      <c r="N63" s="417"/>
      <c r="O63" s="417"/>
      <c r="P63" s="417"/>
      <c r="Q63" s="417"/>
      <c r="R63" s="417"/>
      <c r="S63" s="417"/>
      <c r="T63" s="417"/>
      <c r="U63" s="417"/>
      <c r="V63" s="417"/>
      <c r="W63" s="417"/>
      <c r="X63" s="417"/>
      <c r="Y63" s="417"/>
      <c r="Z63" s="417"/>
      <c r="AA63" s="417"/>
      <c r="AB63" s="417"/>
      <c r="AC63" s="417"/>
      <c r="AD63" s="417"/>
      <c r="AE63" s="418"/>
      <c r="AF63" s="151"/>
      <c r="AG63" s="151"/>
      <c r="AH63" s="148"/>
      <c r="AI63" s="148"/>
      <c r="AJ63" s="148"/>
      <c r="AK63" s="148"/>
      <c r="AL63" s="148"/>
      <c r="AM63" s="148"/>
      <c r="AQ63" s="126"/>
      <c r="AR63" s="126"/>
      <c r="AS63" s="126"/>
      <c r="AT63" s="126"/>
      <c r="BA63" s="113"/>
      <c r="BS63" s="5"/>
      <c r="BT63" s="5"/>
      <c r="BU63" s="6"/>
    </row>
    <row r="64" spans="1:73" ht="15.75">
      <c r="B64" s="153">
        <v>43196</v>
      </c>
      <c r="C64" s="416" t="s">
        <v>151</v>
      </c>
      <c r="D64" s="417"/>
      <c r="E64" s="417"/>
      <c r="F64" s="417"/>
      <c r="G64" s="417"/>
      <c r="H64" s="417"/>
      <c r="I64" s="417"/>
      <c r="J64" s="417"/>
      <c r="K64" s="417"/>
      <c r="L64" s="417"/>
      <c r="M64" s="417"/>
      <c r="N64" s="417"/>
      <c r="O64" s="417"/>
      <c r="P64" s="417"/>
      <c r="Q64" s="417"/>
      <c r="R64" s="417"/>
      <c r="S64" s="417"/>
      <c r="T64" s="417"/>
      <c r="U64" s="417"/>
      <c r="V64" s="417"/>
      <c r="W64" s="417"/>
      <c r="X64" s="417"/>
      <c r="Y64" s="417"/>
      <c r="Z64" s="417"/>
      <c r="AA64" s="417"/>
      <c r="AB64" s="417"/>
      <c r="AC64" s="417"/>
      <c r="AD64" s="417"/>
      <c r="AE64" s="418"/>
      <c r="AF64" s="151"/>
      <c r="AG64" s="151"/>
      <c r="AH64" s="148"/>
      <c r="AI64" s="148"/>
      <c r="AJ64" s="148"/>
      <c r="AK64" s="148"/>
      <c r="AL64" s="148"/>
      <c r="AM64" s="148"/>
      <c r="AQ64" s="126"/>
      <c r="AR64" s="126"/>
      <c r="AS64" s="126"/>
      <c r="AT64" s="126"/>
      <c r="BA64" s="113"/>
      <c r="BS64" s="5"/>
      <c r="BT64" s="5"/>
      <c r="BU64" s="6"/>
    </row>
    <row r="65" spans="2:73" ht="15.75">
      <c r="B65" s="153">
        <v>43197</v>
      </c>
      <c r="C65" s="416" t="s">
        <v>151</v>
      </c>
      <c r="D65" s="417"/>
      <c r="E65" s="417"/>
      <c r="F65" s="417"/>
      <c r="G65" s="417"/>
      <c r="H65" s="417"/>
      <c r="I65" s="417"/>
      <c r="J65" s="417"/>
      <c r="K65" s="417"/>
      <c r="L65" s="417"/>
      <c r="M65" s="417"/>
      <c r="N65" s="417"/>
      <c r="O65" s="417"/>
      <c r="P65" s="417"/>
      <c r="Q65" s="417"/>
      <c r="R65" s="417"/>
      <c r="S65" s="417"/>
      <c r="T65" s="417"/>
      <c r="U65" s="417"/>
      <c r="V65" s="417"/>
      <c r="W65" s="417"/>
      <c r="X65" s="417"/>
      <c r="Y65" s="417"/>
      <c r="Z65" s="417"/>
      <c r="AA65" s="417"/>
      <c r="AB65" s="417"/>
      <c r="AC65" s="417"/>
      <c r="AD65" s="417"/>
      <c r="AE65" s="418"/>
      <c r="AF65" s="151"/>
      <c r="AG65" s="151"/>
      <c r="AH65" s="148"/>
      <c r="AI65" s="148"/>
      <c r="AJ65" s="148"/>
      <c r="AK65" s="148"/>
      <c r="AL65" s="148"/>
      <c r="AM65" s="148"/>
      <c r="AQ65" s="126"/>
      <c r="AR65" s="126"/>
      <c r="AS65" s="126"/>
      <c r="AT65" s="126"/>
      <c r="BA65" s="113"/>
      <c r="BS65" s="5"/>
      <c r="BT65" s="5"/>
      <c r="BU65" s="6"/>
    </row>
    <row r="66" spans="2:73" ht="15.75">
      <c r="B66" s="153">
        <v>43198</v>
      </c>
      <c r="C66" s="416" t="s">
        <v>182</v>
      </c>
      <c r="D66" s="417"/>
      <c r="E66" s="417"/>
      <c r="F66" s="417"/>
      <c r="G66" s="417"/>
      <c r="H66" s="417"/>
      <c r="I66" s="417"/>
      <c r="J66" s="417"/>
      <c r="K66" s="417"/>
      <c r="L66" s="417"/>
      <c r="M66" s="417"/>
      <c r="N66" s="417"/>
      <c r="O66" s="417"/>
      <c r="P66" s="417"/>
      <c r="Q66" s="417"/>
      <c r="R66" s="417"/>
      <c r="S66" s="417"/>
      <c r="T66" s="417"/>
      <c r="U66" s="417"/>
      <c r="V66" s="417"/>
      <c r="W66" s="417"/>
      <c r="X66" s="417"/>
      <c r="Y66" s="417"/>
      <c r="Z66" s="417"/>
      <c r="AA66" s="417"/>
      <c r="AB66" s="417"/>
      <c r="AC66" s="417"/>
      <c r="AD66" s="417"/>
      <c r="AE66" s="418"/>
      <c r="AF66" s="151"/>
      <c r="AG66" s="151"/>
      <c r="AH66" s="148"/>
      <c r="AI66" s="148"/>
      <c r="AJ66" s="148"/>
      <c r="AK66" s="148"/>
      <c r="AL66" s="148"/>
      <c r="AM66" s="148"/>
      <c r="AQ66" s="126"/>
      <c r="AR66" s="126"/>
      <c r="AS66" s="126"/>
      <c r="AT66" s="126"/>
      <c r="BA66" s="113"/>
      <c r="BS66" s="5"/>
      <c r="BT66" s="5"/>
      <c r="BU66" s="6"/>
    </row>
    <row r="67" spans="2:73" ht="15.75">
      <c r="B67" s="153">
        <v>43199</v>
      </c>
      <c r="C67" s="416" t="s">
        <v>183</v>
      </c>
      <c r="D67" s="417"/>
      <c r="E67" s="417"/>
      <c r="F67" s="417"/>
      <c r="G67" s="417"/>
      <c r="H67" s="417"/>
      <c r="I67" s="417"/>
      <c r="J67" s="417"/>
      <c r="K67" s="417"/>
      <c r="L67" s="417"/>
      <c r="M67" s="417"/>
      <c r="N67" s="417"/>
      <c r="O67" s="417"/>
      <c r="P67" s="417"/>
      <c r="Q67" s="417"/>
      <c r="R67" s="417"/>
      <c r="S67" s="417"/>
      <c r="T67" s="417"/>
      <c r="U67" s="417"/>
      <c r="V67" s="417"/>
      <c r="W67" s="417"/>
      <c r="X67" s="417"/>
      <c r="Y67" s="417"/>
      <c r="Z67" s="417"/>
      <c r="AA67" s="417"/>
      <c r="AB67" s="417"/>
      <c r="AC67" s="417"/>
      <c r="AD67" s="417"/>
      <c r="AE67" s="418"/>
      <c r="AF67" s="151"/>
      <c r="AG67" s="151"/>
      <c r="AH67" s="148"/>
      <c r="AI67" s="148"/>
      <c r="AJ67" s="148"/>
      <c r="AK67" s="148"/>
      <c r="AL67" s="148"/>
      <c r="AM67" s="148"/>
      <c r="AQ67" s="126"/>
      <c r="AR67" s="126"/>
      <c r="AS67" s="126"/>
      <c r="AT67" s="126"/>
      <c r="BA67" s="113"/>
      <c r="BS67" s="5"/>
      <c r="BT67" s="5"/>
      <c r="BU67" s="6"/>
    </row>
    <row r="68" spans="2:73" ht="15.75">
      <c r="B68" s="153">
        <v>43200</v>
      </c>
      <c r="C68" s="416" t="s">
        <v>151</v>
      </c>
      <c r="D68" s="417"/>
      <c r="E68" s="417"/>
      <c r="F68" s="417"/>
      <c r="G68" s="417"/>
      <c r="H68" s="417"/>
      <c r="I68" s="417"/>
      <c r="J68" s="417"/>
      <c r="K68" s="417"/>
      <c r="L68" s="417"/>
      <c r="M68" s="417"/>
      <c r="N68" s="417"/>
      <c r="O68" s="417"/>
      <c r="P68" s="417"/>
      <c r="Q68" s="417"/>
      <c r="R68" s="417"/>
      <c r="S68" s="417"/>
      <c r="T68" s="417"/>
      <c r="U68" s="417"/>
      <c r="V68" s="417"/>
      <c r="W68" s="417"/>
      <c r="X68" s="417"/>
      <c r="Y68" s="417"/>
      <c r="Z68" s="417"/>
      <c r="AA68" s="417"/>
      <c r="AB68" s="417"/>
      <c r="AC68" s="417"/>
      <c r="AD68" s="417"/>
      <c r="AE68" s="418"/>
      <c r="AF68" s="151"/>
      <c r="AG68" s="151"/>
      <c r="AH68" s="148"/>
      <c r="AI68" s="148"/>
      <c r="AJ68" s="148"/>
      <c r="AK68" s="148"/>
      <c r="AL68" s="148"/>
      <c r="AM68" s="148"/>
      <c r="AQ68" s="126"/>
      <c r="AR68" s="126"/>
      <c r="AS68" s="126"/>
      <c r="AT68" s="126"/>
      <c r="BA68" s="113"/>
      <c r="BS68" s="5"/>
      <c r="BT68" s="5"/>
      <c r="BU68" s="6"/>
    </row>
    <row r="69" spans="2:73" ht="15.75">
      <c r="B69" s="153">
        <v>43201</v>
      </c>
      <c r="C69" s="416" t="s">
        <v>151</v>
      </c>
      <c r="D69" s="417"/>
      <c r="E69" s="417"/>
      <c r="F69" s="417"/>
      <c r="G69" s="417"/>
      <c r="H69" s="417"/>
      <c r="I69" s="417"/>
      <c r="J69" s="417"/>
      <c r="K69" s="417"/>
      <c r="L69" s="417"/>
      <c r="M69" s="417"/>
      <c r="N69" s="417"/>
      <c r="O69" s="417"/>
      <c r="P69" s="417"/>
      <c r="Q69" s="417"/>
      <c r="R69" s="417"/>
      <c r="S69" s="417"/>
      <c r="T69" s="417"/>
      <c r="U69" s="417"/>
      <c r="V69" s="417"/>
      <c r="W69" s="417"/>
      <c r="X69" s="417"/>
      <c r="Y69" s="417"/>
      <c r="Z69" s="417"/>
      <c r="AA69" s="417"/>
      <c r="AB69" s="417"/>
      <c r="AC69" s="417"/>
      <c r="AD69" s="417"/>
      <c r="AE69" s="418"/>
      <c r="AF69" s="151"/>
      <c r="AG69" s="151"/>
      <c r="AH69" s="148"/>
      <c r="AI69" s="148"/>
      <c r="AJ69" s="148"/>
      <c r="AK69" s="148"/>
      <c r="AL69" s="148"/>
      <c r="AM69" s="148"/>
      <c r="AQ69" s="126"/>
      <c r="AR69" s="126"/>
      <c r="AS69" s="126"/>
      <c r="AT69" s="126"/>
      <c r="BA69" s="113"/>
      <c r="BS69" s="5"/>
      <c r="BT69" s="5"/>
      <c r="BU69" s="6"/>
    </row>
    <row r="70" spans="2:73" ht="15.75">
      <c r="B70" s="153">
        <v>43202</v>
      </c>
      <c r="C70" s="416" t="s">
        <v>151</v>
      </c>
      <c r="D70" s="417"/>
      <c r="E70" s="417"/>
      <c r="F70" s="417"/>
      <c r="G70" s="417"/>
      <c r="H70" s="417"/>
      <c r="I70" s="417"/>
      <c r="J70" s="417"/>
      <c r="K70" s="417"/>
      <c r="L70" s="417"/>
      <c r="M70" s="417"/>
      <c r="N70" s="417"/>
      <c r="O70" s="417"/>
      <c r="P70" s="417"/>
      <c r="Q70" s="417"/>
      <c r="R70" s="417"/>
      <c r="S70" s="417"/>
      <c r="T70" s="417"/>
      <c r="U70" s="417"/>
      <c r="V70" s="417"/>
      <c r="W70" s="417"/>
      <c r="X70" s="417"/>
      <c r="Y70" s="417"/>
      <c r="Z70" s="417"/>
      <c r="AA70" s="417"/>
      <c r="AB70" s="417"/>
      <c r="AC70" s="417"/>
      <c r="AD70" s="417"/>
      <c r="AE70" s="418"/>
      <c r="AF70" s="151"/>
      <c r="AG70" s="151"/>
      <c r="AH70" s="148"/>
      <c r="AI70" s="148"/>
      <c r="AJ70" s="148"/>
      <c r="AK70" s="148"/>
      <c r="AL70" s="148"/>
      <c r="AM70" s="148"/>
      <c r="AQ70" s="126"/>
      <c r="AR70" s="126"/>
      <c r="AS70" s="126"/>
      <c r="AT70" s="126"/>
      <c r="BA70" s="113"/>
      <c r="BS70" s="5"/>
      <c r="BT70" s="5"/>
      <c r="BU70" s="6"/>
    </row>
    <row r="71" spans="2:73" ht="15.75">
      <c r="B71" s="153">
        <v>43203</v>
      </c>
      <c r="C71" s="416" t="s">
        <v>151</v>
      </c>
      <c r="D71" s="417"/>
      <c r="E71" s="417"/>
      <c r="F71" s="417"/>
      <c r="G71" s="417"/>
      <c r="H71" s="417"/>
      <c r="I71" s="417"/>
      <c r="J71" s="417"/>
      <c r="K71" s="417"/>
      <c r="L71" s="417"/>
      <c r="M71" s="417"/>
      <c r="N71" s="417"/>
      <c r="O71" s="417"/>
      <c r="P71" s="417"/>
      <c r="Q71" s="417"/>
      <c r="R71" s="417"/>
      <c r="S71" s="417"/>
      <c r="T71" s="417"/>
      <c r="U71" s="417"/>
      <c r="V71" s="417"/>
      <c r="W71" s="417"/>
      <c r="X71" s="417"/>
      <c r="Y71" s="417"/>
      <c r="Z71" s="417"/>
      <c r="AA71" s="417"/>
      <c r="AB71" s="417"/>
      <c r="AC71" s="417"/>
      <c r="AD71" s="417"/>
      <c r="AE71" s="418"/>
      <c r="AF71" s="151"/>
      <c r="AG71" s="151"/>
      <c r="AH71" s="148"/>
      <c r="AI71" s="148"/>
      <c r="AJ71" s="148"/>
      <c r="AK71" s="148"/>
      <c r="AL71" s="148"/>
      <c r="AM71" s="148"/>
      <c r="AQ71" s="126"/>
      <c r="AR71" s="126"/>
      <c r="AS71" s="126"/>
      <c r="AT71" s="126"/>
      <c r="BA71" s="113"/>
      <c r="BS71" s="5"/>
      <c r="BT71" s="5"/>
      <c r="BU71" s="6"/>
    </row>
    <row r="72" spans="2:73" ht="15.75">
      <c r="B72" s="153">
        <v>43204</v>
      </c>
      <c r="C72" s="416" t="s">
        <v>151</v>
      </c>
      <c r="D72" s="417"/>
      <c r="E72" s="417"/>
      <c r="F72" s="417"/>
      <c r="G72" s="417"/>
      <c r="H72" s="417"/>
      <c r="I72" s="417"/>
      <c r="J72" s="417"/>
      <c r="K72" s="417"/>
      <c r="L72" s="417"/>
      <c r="M72" s="417"/>
      <c r="N72" s="417"/>
      <c r="O72" s="417"/>
      <c r="P72" s="417"/>
      <c r="Q72" s="417"/>
      <c r="R72" s="417"/>
      <c r="S72" s="417"/>
      <c r="T72" s="417"/>
      <c r="U72" s="417"/>
      <c r="V72" s="417"/>
      <c r="W72" s="417"/>
      <c r="X72" s="417"/>
      <c r="Y72" s="417"/>
      <c r="Z72" s="417"/>
      <c r="AA72" s="417"/>
      <c r="AB72" s="417"/>
      <c r="AC72" s="417"/>
      <c r="AD72" s="417"/>
      <c r="AE72" s="418"/>
      <c r="AF72" s="151"/>
      <c r="AG72" s="151"/>
      <c r="AH72" s="148"/>
      <c r="AI72" s="148"/>
      <c r="AJ72" s="148"/>
      <c r="AK72" s="148"/>
      <c r="AL72" s="148"/>
      <c r="AM72" s="148"/>
      <c r="AQ72" s="126"/>
      <c r="AR72" s="126"/>
      <c r="AS72" s="126"/>
      <c r="AT72" s="126"/>
      <c r="BA72" s="113"/>
      <c r="BS72" s="5"/>
      <c r="BT72" s="5"/>
      <c r="BU72" s="6"/>
    </row>
    <row r="73" spans="2:73" ht="15.75">
      <c r="B73" s="153">
        <v>43205</v>
      </c>
      <c r="C73" s="416" t="s">
        <v>184</v>
      </c>
      <c r="D73" s="417"/>
      <c r="E73" s="417"/>
      <c r="F73" s="417"/>
      <c r="G73" s="417"/>
      <c r="H73" s="417"/>
      <c r="I73" s="417"/>
      <c r="J73" s="417"/>
      <c r="K73" s="417"/>
      <c r="L73" s="417"/>
      <c r="M73" s="417"/>
      <c r="N73" s="417"/>
      <c r="O73" s="417"/>
      <c r="P73" s="417"/>
      <c r="Q73" s="417"/>
      <c r="R73" s="417"/>
      <c r="S73" s="417"/>
      <c r="T73" s="417"/>
      <c r="U73" s="417"/>
      <c r="V73" s="417"/>
      <c r="W73" s="417"/>
      <c r="X73" s="417"/>
      <c r="Y73" s="417"/>
      <c r="Z73" s="417"/>
      <c r="AA73" s="417"/>
      <c r="AB73" s="417"/>
      <c r="AC73" s="417"/>
      <c r="AD73" s="417"/>
      <c r="AE73" s="418"/>
      <c r="AF73" s="151"/>
      <c r="AG73" s="151"/>
      <c r="AH73" s="148"/>
      <c r="AI73" s="148"/>
      <c r="AJ73" s="148"/>
      <c r="AK73" s="148"/>
      <c r="AL73" s="148"/>
      <c r="AM73" s="148"/>
      <c r="AQ73" s="126"/>
      <c r="AR73" s="126"/>
      <c r="AS73" s="126"/>
      <c r="AT73" s="126"/>
      <c r="BA73" s="113"/>
      <c r="BS73" s="5"/>
      <c r="BT73" s="5"/>
      <c r="BU73" s="6"/>
    </row>
    <row r="74" spans="2:73" ht="15.75">
      <c r="B74" s="153">
        <v>43206</v>
      </c>
      <c r="C74" s="416" t="s">
        <v>185</v>
      </c>
      <c r="D74" s="417"/>
      <c r="E74" s="417"/>
      <c r="F74" s="417"/>
      <c r="G74" s="417"/>
      <c r="H74" s="417"/>
      <c r="I74" s="417"/>
      <c r="J74" s="417"/>
      <c r="K74" s="417"/>
      <c r="L74" s="417"/>
      <c r="M74" s="417"/>
      <c r="N74" s="417"/>
      <c r="O74" s="417"/>
      <c r="P74" s="417"/>
      <c r="Q74" s="417"/>
      <c r="R74" s="417"/>
      <c r="S74" s="417"/>
      <c r="T74" s="417"/>
      <c r="U74" s="417"/>
      <c r="V74" s="417"/>
      <c r="W74" s="417"/>
      <c r="X74" s="417"/>
      <c r="Y74" s="417"/>
      <c r="Z74" s="417"/>
      <c r="AA74" s="417"/>
      <c r="AB74" s="417"/>
      <c r="AC74" s="417"/>
      <c r="AD74" s="417"/>
      <c r="AE74" s="418"/>
      <c r="AF74" s="151"/>
      <c r="AG74" s="151"/>
      <c r="AH74" s="148"/>
      <c r="AI74" s="148"/>
      <c r="AJ74" s="148"/>
      <c r="AK74" s="148"/>
      <c r="AL74" s="148"/>
      <c r="AM74" s="148"/>
      <c r="AQ74" s="126"/>
      <c r="AR74" s="126"/>
      <c r="AS74" s="126"/>
      <c r="AT74" s="126"/>
      <c r="BA74" s="113"/>
      <c r="BS74" s="5"/>
      <c r="BT74" s="5"/>
      <c r="BU74" s="6"/>
    </row>
    <row r="75" spans="2:73" ht="15.75">
      <c r="B75" s="153">
        <v>43207</v>
      </c>
      <c r="C75" s="416" t="s">
        <v>151</v>
      </c>
      <c r="D75" s="417"/>
      <c r="E75" s="417"/>
      <c r="F75" s="417"/>
      <c r="G75" s="417"/>
      <c r="H75" s="417"/>
      <c r="I75" s="417"/>
      <c r="J75" s="417"/>
      <c r="K75" s="417"/>
      <c r="L75" s="417"/>
      <c r="M75" s="417"/>
      <c r="N75" s="417"/>
      <c r="O75" s="417"/>
      <c r="P75" s="417"/>
      <c r="Q75" s="417"/>
      <c r="R75" s="417"/>
      <c r="S75" s="417"/>
      <c r="T75" s="417"/>
      <c r="U75" s="417"/>
      <c r="V75" s="417"/>
      <c r="W75" s="417"/>
      <c r="X75" s="417"/>
      <c r="Y75" s="417"/>
      <c r="Z75" s="417"/>
      <c r="AA75" s="417"/>
      <c r="AB75" s="417"/>
      <c r="AC75" s="417"/>
      <c r="AD75" s="417"/>
      <c r="AE75" s="418"/>
      <c r="AF75" s="151"/>
      <c r="AG75" s="151"/>
      <c r="AH75" s="148"/>
      <c r="AI75" s="148"/>
      <c r="AJ75" s="148"/>
      <c r="AK75" s="148"/>
      <c r="AL75" s="148"/>
      <c r="AM75" s="148"/>
      <c r="AQ75" s="126"/>
      <c r="AR75" s="126"/>
      <c r="AS75" s="126"/>
      <c r="AT75" s="126"/>
      <c r="BA75" s="113"/>
      <c r="BS75" s="5"/>
      <c r="BT75" s="5"/>
      <c r="BU75" s="6"/>
    </row>
    <row r="76" spans="2:73" ht="15.75">
      <c r="B76" s="153">
        <v>43208</v>
      </c>
      <c r="C76" s="416" t="s">
        <v>151</v>
      </c>
      <c r="D76" s="417"/>
      <c r="E76" s="417"/>
      <c r="F76" s="417"/>
      <c r="G76" s="417"/>
      <c r="H76" s="417"/>
      <c r="I76" s="417"/>
      <c r="J76" s="417"/>
      <c r="K76" s="417"/>
      <c r="L76" s="417"/>
      <c r="M76" s="417"/>
      <c r="N76" s="417"/>
      <c r="O76" s="417"/>
      <c r="P76" s="417"/>
      <c r="Q76" s="417"/>
      <c r="R76" s="417"/>
      <c r="S76" s="417"/>
      <c r="T76" s="417"/>
      <c r="U76" s="417"/>
      <c r="V76" s="417"/>
      <c r="W76" s="417"/>
      <c r="X76" s="417"/>
      <c r="Y76" s="417"/>
      <c r="Z76" s="417"/>
      <c r="AA76" s="417"/>
      <c r="AB76" s="417"/>
      <c r="AC76" s="417"/>
      <c r="AD76" s="417"/>
      <c r="AE76" s="418"/>
      <c r="AF76" s="151"/>
      <c r="AG76" s="151"/>
      <c r="AH76" s="148"/>
      <c r="AI76" s="148"/>
      <c r="AJ76" s="148"/>
      <c r="AK76" s="148"/>
      <c r="AL76" s="148"/>
      <c r="AM76" s="148"/>
      <c r="AQ76" s="126"/>
      <c r="AR76" s="126"/>
      <c r="AS76" s="126"/>
      <c r="AT76" s="126"/>
      <c r="BA76" s="113"/>
      <c r="BS76" s="5"/>
      <c r="BT76" s="5"/>
      <c r="BU76" s="6"/>
    </row>
    <row r="77" spans="2:73" ht="15.75">
      <c r="B77" s="153">
        <v>43209</v>
      </c>
      <c r="C77" s="416" t="s">
        <v>151</v>
      </c>
      <c r="D77" s="417"/>
      <c r="E77" s="417"/>
      <c r="F77" s="417"/>
      <c r="G77" s="417"/>
      <c r="H77" s="417"/>
      <c r="I77" s="417"/>
      <c r="J77" s="417"/>
      <c r="K77" s="417"/>
      <c r="L77" s="417"/>
      <c r="M77" s="417"/>
      <c r="N77" s="417"/>
      <c r="O77" s="417"/>
      <c r="P77" s="417"/>
      <c r="Q77" s="417"/>
      <c r="R77" s="417"/>
      <c r="S77" s="417"/>
      <c r="T77" s="417"/>
      <c r="U77" s="417"/>
      <c r="V77" s="417"/>
      <c r="W77" s="417"/>
      <c r="X77" s="417"/>
      <c r="Y77" s="417"/>
      <c r="Z77" s="417"/>
      <c r="AA77" s="417"/>
      <c r="AB77" s="417"/>
      <c r="AC77" s="417"/>
      <c r="AD77" s="417"/>
      <c r="AE77" s="418"/>
      <c r="AF77" s="151"/>
      <c r="AG77" s="151"/>
      <c r="AH77" s="148"/>
      <c r="AI77" s="148"/>
      <c r="AJ77" s="148"/>
      <c r="AK77" s="148"/>
      <c r="AL77" s="148"/>
      <c r="AM77" s="148"/>
      <c r="AQ77" s="126"/>
      <c r="AR77" s="126"/>
      <c r="AS77" s="126"/>
      <c r="AT77" s="126"/>
      <c r="BA77" s="113"/>
      <c r="BS77" s="5"/>
      <c r="BT77" s="5"/>
      <c r="BU77" s="6"/>
    </row>
    <row r="78" spans="2:73" ht="15.75">
      <c r="B78" s="153">
        <v>43210</v>
      </c>
      <c r="C78" s="416" t="s">
        <v>186</v>
      </c>
      <c r="D78" s="417"/>
      <c r="E78" s="417"/>
      <c r="F78" s="417"/>
      <c r="G78" s="417"/>
      <c r="H78" s="417"/>
      <c r="I78" s="417"/>
      <c r="J78" s="417"/>
      <c r="K78" s="417"/>
      <c r="L78" s="417"/>
      <c r="M78" s="417"/>
      <c r="N78" s="417"/>
      <c r="O78" s="417"/>
      <c r="P78" s="417"/>
      <c r="Q78" s="417"/>
      <c r="R78" s="417"/>
      <c r="S78" s="417"/>
      <c r="T78" s="417"/>
      <c r="U78" s="417"/>
      <c r="V78" s="417"/>
      <c r="W78" s="417"/>
      <c r="X78" s="417"/>
      <c r="Y78" s="417"/>
      <c r="Z78" s="417"/>
      <c r="AA78" s="417"/>
      <c r="AB78" s="417"/>
      <c r="AC78" s="417"/>
      <c r="AD78" s="417"/>
      <c r="AE78" s="418"/>
      <c r="AF78" s="151"/>
      <c r="AG78" s="151"/>
      <c r="AH78" s="148"/>
      <c r="AI78" s="148"/>
      <c r="AJ78" s="148"/>
      <c r="AK78" s="148"/>
      <c r="AL78" s="148"/>
      <c r="AM78" s="148"/>
      <c r="AQ78" s="126"/>
      <c r="AR78" s="126"/>
      <c r="AS78" s="126"/>
      <c r="AT78" s="126"/>
      <c r="BA78" s="113"/>
      <c r="BS78" s="5"/>
      <c r="BT78" s="5"/>
      <c r="BU78" s="6"/>
    </row>
    <row r="79" spans="2:73" ht="15.75">
      <c r="B79" s="153">
        <v>43211</v>
      </c>
      <c r="C79" s="416" t="s">
        <v>151</v>
      </c>
      <c r="D79" s="417"/>
      <c r="E79" s="417"/>
      <c r="F79" s="417"/>
      <c r="G79" s="417"/>
      <c r="H79" s="417"/>
      <c r="I79" s="417"/>
      <c r="J79" s="417"/>
      <c r="K79" s="417"/>
      <c r="L79" s="417"/>
      <c r="M79" s="417"/>
      <c r="N79" s="417"/>
      <c r="O79" s="417"/>
      <c r="P79" s="417"/>
      <c r="Q79" s="417"/>
      <c r="R79" s="417"/>
      <c r="S79" s="417"/>
      <c r="T79" s="417"/>
      <c r="U79" s="417"/>
      <c r="V79" s="417"/>
      <c r="W79" s="417"/>
      <c r="X79" s="417"/>
      <c r="Y79" s="417"/>
      <c r="Z79" s="417"/>
      <c r="AA79" s="417"/>
      <c r="AB79" s="417"/>
      <c r="AC79" s="417"/>
      <c r="AD79" s="417"/>
      <c r="AE79" s="418"/>
      <c r="AF79" s="151"/>
      <c r="AG79" s="151"/>
      <c r="AH79" s="148"/>
      <c r="AI79" s="148"/>
      <c r="AJ79" s="148"/>
      <c r="AK79" s="148"/>
      <c r="AL79" s="148"/>
      <c r="AM79" s="148"/>
      <c r="AQ79" s="126"/>
      <c r="AR79" s="126"/>
      <c r="AS79" s="126"/>
      <c r="AT79" s="126"/>
      <c r="BA79" s="113"/>
      <c r="BS79" s="5"/>
      <c r="BT79" s="5"/>
      <c r="BU79" s="6"/>
    </row>
    <row r="80" spans="2:73" ht="15.75">
      <c r="B80" s="153">
        <v>43212</v>
      </c>
      <c r="C80" s="416" t="s">
        <v>187</v>
      </c>
      <c r="D80" s="417"/>
      <c r="E80" s="417"/>
      <c r="F80" s="417"/>
      <c r="G80" s="417"/>
      <c r="H80" s="417"/>
      <c r="I80" s="417"/>
      <c r="J80" s="417"/>
      <c r="K80" s="417"/>
      <c r="L80" s="417"/>
      <c r="M80" s="417"/>
      <c r="N80" s="417"/>
      <c r="O80" s="417"/>
      <c r="P80" s="417"/>
      <c r="Q80" s="417"/>
      <c r="R80" s="417"/>
      <c r="S80" s="417"/>
      <c r="T80" s="417"/>
      <c r="U80" s="417"/>
      <c r="V80" s="417"/>
      <c r="W80" s="417"/>
      <c r="X80" s="417"/>
      <c r="Y80" s="417"/>
      <c r="Z80" s="417"/>
      <c r="AA80" s="417"/>
      <c r="AB80" s="417"/>
      <c r="AC80" s="417"/>
      <c r="AD80" s="417"/>
      <c r="AE80" s="418"/>
      <c r="AF80" s="151"/>
      <c r="AG80" s="151"/>
      <c r="AH80" s="148"/>
      <c r="AI80" s="148"/>
      <c r="AJ80" s="148"/>
      <c r="AK80" s="148"/>
      <c r="AL80" s="148"/>
      <c r="AM80" s="148"/>
      <c r="AQ80" s="126"/>
      <c r="AR80" s="126"/>
      <c r="AS80" s="126"/>
      <c r="AT80" s="126"/>
      <c r="BA80" s="113"/>
      <c r="BS80" s="5"/>
      <c r="BT80" s="5"/>
      <c r="BU80" s="6"/>
    </row>
    <row r="81" spans="2:73" ht="15.75">
      <c r="B81" s="153">
        <v>43213</v>
      </c>
      <c r="C81" s="416" t="s">
        <v>188</v>
      </c>
      <c r="D81" s="417"/>
      <c r="E81" s="417"/>
      <c r="F81" s="417"/>
      <c r="G81" s="417"/>
      <c r="H81" s="417"/>
      <c r="I81" s="417"/>
      <c r="J81" s="417"/>
      <c r="K81" s="417"/>
      <c r="L81" s="417"/>
      <c r="M81" s="417"/>
      <c r="N81" s="417"/>
      <c r="O81" s="417"/>
      <c r="P81" s="417"/>
      <c r="Q81" s="417"/>
      <c r="R81" s="417"/>
      <c r="S81" s="417"/>
      <c r="T81" s="417"/>
      <c r="U81" s="417"/>
      <c r="V81" s="417"/>
      <c r="W81" s="417"/>
      <c r="X81" s="417"/>
      <c r="Y81" s="417"/>
      <c r="Z81" s="417"/>
      <c r="AA81" s="417"/>
      <c r="AB81" s="417"/>
      <c r="AC81" s="417"/>
      <c r="AD81" s="417"/>
      <c r="AE81" s="418"/>
      <c r="AF81" s="151"/>
      <c r="AG81" s="151"/>
      <c r="AH81" s="148"/>
      <c r="AI81" s="148"/>
      <c r="AJ81" s="148"/>
      <c r="AK81" s="148"/>
      <c r="AL81" s="148"/>
      <c r="AM81" s="148"/>
      <c r="AQ81" s="126"/>
      <c r="AR81" s="126"/>
      <c r="AS81" s="126"/>
      <c r="AT81" s="126"/>
      <c r="BA81" s="113"/>
      <c r="BS81" s="5"/>
      <c r="BT81" s="5"/>
      <c r="BU81" s="6"/>
    </row>
    <row r="82" spans="2:73" ht="15.75">
      <c r="B82" s="153">
        <v>43214</v>
      </c>
      <c r="C82" s="416" t="s">
        <v>189</v>
      </c>
      <c r="D82" s="417"/>
      <c r="E82" s="417"/>
      <c r="F82" s="417"/>
      <c r="G82" s="417"/>
      <c r="H82" s="417"/>
      <c r="I82" s="417"/>
      <c r="J82" s="417"/>
      <c r="K82" s="417"/>
      <c r="L82" s="417"/>
      <c r="M82" s="417"/>
      <c r="N82" s="417"/>
      <c r="O82" s="417"/>
      <c r="P82" s="417"/>
      <c r="Q82" s="417"/>
      <c r="R82" s="417"/>
      <c r="S82" s="417"/>
      <c r="T82" s="417"/>
      <c r="U82" s="417"/>
      <c r="V82" s="417"/>
      <c r="W82" s="417"/>
      <c r="X82" s="417"/>
      <c r="Y82" s="417"/>
      <c r="Z82" s="417"/>
      <c r="AA82" s="417"/>
      <c r="AB82" s="417"/>
      <c r="AC82" s="417"/>
      <c r="AD82" s="417"/>
      <c r="AE82" s="418"/>
      <c r="AF82" s="151"/>
      <c r="AG82" s="151"/>
      <c r="AH82" s="148"/>
      <c r="AI82" s="148"/>
      <c r="AJ82" s="148"/>
      <c r="AK82" s="148"/>
      <c r="AL82" s="148"/>
      <c r="AM82" s="148"/>
      <c r="AQ82" s="126"/>
      <c r="AR82" s="126"/>
      <c r="AS82" s="126"/>
      <c r="AT82" s="126"/>
      <c r="BA82" s="113"/>
      <c r="BS82" s="5"/>
      <c r="BT82" s="5"/>
      <c r="BU82" s="6"/>
    </row>
    <row r="83" spans="2:73" ht="15.75">
      <c r="B83" s="153">
        <v>43215</v>
      </c>
      <c r="C83" s="416" t="s">
        <v>151</v>
      </c>
      <c r="D83" s="417"/>
      <c r="E83" s="417"/>
      <c r="F83" s="417"/>
      <c r="G83" s="417"/>
      <c r="H83" s="417"/>
      <c r="I83" s="417"/>
      <c r="J83" s="417"/>
      <c r="K83" s="417"/>
      <c r="L83" s="417"/>
      <c r="M83" s="417"/>
      <c r="N83" s="417"/>
      <c r="O83" s="417"/>
      <c r="P83" s="417"/>
      <c r="Q83" s="417"/>
      <c r="R83" s="417"/>
      <c r="S83" s="417"/>
      <c r="T83" s="417"/>
      <c r="U83" s="417"/>
      <c r="V83" s="417"/>
      <c r="W83" s="417"/>
      <c r="X83" s="417"/>
      <c r="Y83" s="417"/>
      <c r="Z83" s="417"/>
      <c r="AA83" s="417"/>
      <c r="AB83" s="417"/>
      <c r="AC83" s="417"/>
      <c r="AD83" s="417"/>
      <c r="AE83" s="418"/>
      <c r="AF83" s="151"/>
      <c r="AG83" s="151"/>
      <c r="AH83" s="148"/>
      <c r="AI83" s="148"/>
      <c r="AJ83" s="148"/>
      <c r="AK83" s="148"/>
      <c r="AL83" s="148"/>
      <c r="AM83" s="148"/>
      <c r="AQ83" s="126"/>
      <c r="AR83" s="126"/>
      <c r="AS83" s="126"/>
      <c r="AT83" s="126"/>
      <c r="BA83" s="113"/>
      <c r="BS83" s="5"/>
      <c r="BT83" s="5"/>
      <c r="BU83" s="6"/>
    </row>
    <row r="84" spans="2:73" ht="15.75">
      <c r="B84" s="153">
        <v>43216</v>
      </c>
      <c r="C84" s="416" t="s">
        <v>151</v>
      </c>
      <c r="D84" s="417"/>
      <c r="E84" s="417"/>
      <c r="F84" s="417"/>
      <c r="G84" s="417"/>
      <c r="H84" s="417"/>
      <c r="I84" s="417"/>
      <c r="J84" s="417"/>
      <c r="K84" s="417"/>
      <c r="L84" s="417"/>
      <c r="M84" s="417"/>
      <c r="N84" s="417"/>
      <c r="O84" s="417"/>
      <c r="P84" s="417"/>
      <c r="Q84" s="417"/>
      <c r="R84" s="417"/>
      <c r="S84" s="417"/>
      <c r="T84" s="417"/>
      <c r="U84" s="417"/>
      <c r="V84" s="417"/>
      <c r="W84" s="417"/>
      <c r="X84" s="417"/>
      <c r="Y84" s="417"/>
      <c r="Z84" s="417"/>
      <c r="AA84" s="417"/>
      <c r="AB84" s="417"/>
      <c r="AC84" s="417"/>
      <c r="AD84" s="417"/>
      <c r="AE84" s="418"/>
      <c r="AF84" s="151"/>
      <c r="AG84" s="151"/>
      <c r="AH84" s="148"/>
      <c r="AI84" s="148"/>
      <c r="AJ84" s="148"/>
      <c r="AK84" s="148"/>
      <c r="AL84" s="148"/>
      <c r="AM84" s="148"/>
      <c r="AQ84" s="126"/>
      <c r="AR84" s="126"/>
      <c r="AS84" s="126"/>
      <c r="AT84" s="126"/>
      <c r="BA84" s="113"/>
      <c r="BS84" s="5"/>
      <c r="BT84" s="5"/>
      <c r="BU84" s="6"/>
    </row>
    <row r="85" spans="2:73" ht="15.75">
      <c r="B85" s="153">
        <v>43217</v>
      </c>
      <c r="C85" s="416" t="s">
        <v>151</v>
      </c>
      <c r="D85" s="417"/>
      <c r="E85" s="417"/>
      <c r="F85" s="417"/>
      <c r="G85" s="417"/>
      <c r="H85" s="417"/>
      <c r="I85" s="417"/>
      <c r="J85" s="417"/>
      <c r="K85" s="417"/>
      <c r="L85" s="417"/>
      <c r="M85" s="417"/>
      <c r="N85" s="417"/>
      <c r="O85" s="417"/>
      <c r="P85" s="417"/>
      <c r="Q85" s="417"/>
      <c r="R85" s="417"/>
      <c r="S85" s="417"/>
      <c r="T85" s="417"/>
      <c r="U85" s="417"/>
      <c r="V85" s="417"/>
      <c r="W85" s="417"/>
      <c r="X85" s="417"/>
      <c r="Y85" s="417"/>
      <c r="Z85" s="417"/>
      <c r="AA85" s="417"/>
      <c r="AB85" s="417"/>
      <c r="AC85" s="417"/>
      <c r="AD85" s="417"/>
      <c r="AE85" s="418"/>
      <c r="AF85" s="151"/>
      <c r="AG85" s="151"/>
      <c r="AH85" s="148"/>
      <c r="AI85" s="148"/>
      <c r="AJ85" s="148"/>
      <c r="AK85" s="148"/>
      <c r="AL85" s="148"/>
      <c r="AM85" s="148"/>
      <c r="AQ85" s="126"/>
      <c r="AR85" s="126"/>
      <c r="AS85" s="126"/>
      <c r="AT85" s="126"/>
      <c r="BA85" s="113"/>
      <c r="BS85" s="5"/>
      <c r="BT85" s="5"/>
      <c r="BU85" s="6"/>
    </row>
    <row r="86" spans="2:73" ht="15.75">
      <c r="B86" s="153">
        <v>43218</v>
      </c>
      <c r="C86" s="416" t="s">
        <v>151</v>
      </c>
      <c r="D86" s="417"/>
      <c r="E86" s="417"/>
      <c r="F86" s="417"/>
      <c r="G86" s="417"/>
      <c r="H86" s="417"/>
      <c r="I86" s="417"/>
      <c r="J86" s="417"/>
      <c r="K86" s="417"/>
      <c r="L86" s="417"/>
      <c r="M86" s="417"/>
      <c r="N86" s="417"/>
      <c r="O86" s="417"/>
      <c r="P86" s="417"/>
      <c r="Q86" s="417"/>
      <c r="R86" s="417"/>
      <c r="S86" s="417"/>
      <c r="T86" s="417"/>
      <c r="U86" s="417"/>
      <c r="V86" s="417"/>
      <c r="W86" s="417"/>
      <c r="X86" s="417"/>
      <c r="Y86" s="417"/>
      <c r="Z86" s="417"/>
      <c r="AA86" s="417"/>
      <c r="AB86" s="417"/>
      <c r="AC86" s="417"/>
      <c r="AD86" s="417"/>
      <c r="AE86" s="418"/>
      <c r="AF86" s="151"/>
      <c r="AG86" s="151"/>
      <c r="AH86" s="148"/>
      <c r="AI86" s="148"/>
      <c r="AJ86" s="148"/>
      <c r="AK86" s="148"/>
      <c r="AL86" s="148"/>
      <c r="AM86" s="148"/>
      <c r="AQ86" s="126"/>
      <c r="AR86" s="126"/>
      <c r="AS86" s="126"/>
      <c r="AT86" s="126"/>
      <c r="BA86" s="113"/>
      <c r="BS86" s="5"/>
      <c r="BT86" s="5"/>
      <c r="BU86" s="6"/>
    </row>
    <row r="87" spans="2:73" ht="15.75">
      <c r="B87" s="153">
        <v>43219</v>
      </c>
      <c r="C87" s="416" t="s">
        <v>190</v>
      </c>
      <c r="D87" s="417"/>
      <c r="E87" s="417"/>
      <c r="F87" s="417"/>
      <c r="G87" s="417"/>
      <c r="H87" s="417"/>
      <c r="I87" s="417"/>
      <c r="J87" s="417"/>
      <c r="K87" s="417"/>
      <c r="L87" s="417"/>
      <c r="M87" s="417"/>
      <c r="N87" s="417"/>
      <c r="O87" s="417"/>
      <c r="P87" s="417"/>
      <c r="Q87" s="417"/>
      <c r="R87" s="417"/>
      <c r="S87" s="417"/>
      <c r="T87" s="417"/>
      <c r="U87" s="417"/>
      <c r="V87" s="417"/>
      <c r="W87" s="417"/>
      <c r="X87" s="417"/>
      <c r="Y87" s="417"/>
      <c r="Z87" s="417"/>
      <c r="AA87" s="417"/>
      <c r="AB87" s="417"/>
      <c r="AC87" s="417"/>
      <c r="AD87" s="417"/>
      <c r="AE87" s="418"/>
    </row>
    <row r="88" spans="2:73" ht="15.75">
      <c r="B88" s="153">
        <v>43220</v>
      </c>
      <c r="C88" s="416" t="s">
        <v>191</v>
      </c>
      <c r="D88" s="417"/>
      <c r="E88" s="417"/>
      <c r="F88" s="417"/>
      <c r="G88" s="417"/>
      <c r="H88" s="417"/>
      <c r="I88" s="417"/>
      <c r="J88" s="417"/>
      <c r="K88" s="417"/>
      <c r="L88" s="417"/>
      <c r="M88" s="417"/>
      <c r="N88" s="417"/>
      <c r="O88" s="417"/>
      <c r="P88" s="417"/>
      <c r="Q88" s="417"/>
      <c r="R88" s="417"/>
      <c r="S88" s="417"/>
      <c r="T88" s="417"/>
      <c r="U88" s="417"/>
      <c r="V88" s="417"/>
      <c r="W88" s="417"/>
      <c r="X88" s="417"/>
      <c r="Y88" s="417"/>
      <c r="Z88" s="417"/>
      <c r="AA88" s="417"/>
      <c r="AB88" s="417"/>
      <c r="AC88" s="417"/>
      <c r="AD88" s="417"/>
      <c r="AE88" s="418"/>
    </row>
  </sheetData>
  <mergeCells count="116">
    <mergeCell ref="B1:AG1"/>
    <mergeCell ref="B2:B4"/>
    <mergeCell ref="C2:C4"/>
    <mergeCell ref="D2:D4"/>
    <mergeCell ref="E2:E4"/>
    <mergeCell ref="F2:G3"/>
    <mergeCell ref="H2:K2"/>
    <mergeCell ref="L2:O2"/>
    <mergeCell ref="P2:Q3"/>
    <mergeCell ref="R2:R4"/>
    <mergeCell ref="Y2:Y4"/>
    <mergeCell ref="Z2:Z4"/>
    <mergeCell ref="AA2:AA4"/>
    <mergeCell ref="AB2:AB4"/>
    <mergeCell ref="AC2:AC4"/>
    <mergeCell ref="AD2:AD4"/>
    <mergeCell ref="S2:S4"/>
    <mergeCell ref="T2:T4"/>
    <mergeCell ref="U2:U4"/>
    <mergeCell ref="V2:V4"/>
    <mergeCell ref="W2:W4"/>
    <mergeCell ref="X2:X4"/>
    <mergeCell ref="AK2:AK4"/>
    <mergeCell ref="AL2:AL4"/>
    <mergeCell ref="AM2:AM4"/>
    <mergeCell ref="AN2:AN4"/>
    <mergeCell ref="AO2:AO4"/>
    <mergeCell ref="AP2:AP4"/>
    <mergeCell ref="AE2:AE4"/>
    <mergeCell ref="AF2:AF4"/>
    <mergeCell ref="AG2:AG4"/>
    <mergeCell ref="AH2:AH4"/>
    <mergeCell ref="AI2:AI4"/>
    <mergeCell ref="AJ2:AJ4"/>
    <mergeCell ref="AX2:AX4"/>
    <mergeCell ref="AY2:AY4"/>
    <mergeCell ref="AZ2:AZ4"/>
    <mergeCell ref="BB2:BB4"/>
    <mergeCell ref="BC2:BC4"/>
    <mergeCell ref="BD2:BD4"/>
    <mergeCell ref="AQ2:AQ4"/>
    <mergeCell ref="AR2:AR4"/>
    <mergeCell ref="AT2:AT4"/>
    <mergeCell ref="AU2:AU4"/>
    <mergeCell ref="AV2:AV4"/>
    <mergeCell ref="AW2:AW4"/>
    <mergeCell ref="BF2:BF4"/>
    <mergeCell ref="BG2:BG4"/>
    <mergeCell ref="BL2:BM2"/>
    <mergeCell ref="BP2:BP4"/>
    <mergeCell ref="BQ2:BQ4"/>
    <mergeCell ref="BL3:BL4"/>
    <mergeCell ref="BM3:BM4"/>
    <mergeCell ref="BN3:BN4"/>
    <mergeCell ref="BO3:BO4"/>
    <mergeCell ref="A5:A11"/>
    <mergeCell ref="A12:A18"/>
    <mergeCell ref="A19:A25"/>
    <mergeCell ref="A26:A32"/>
    <mergeCell ref="A40:A46"/>
    <mergeCell ref="F50:G50"/>
    <mergeCell ref="CA2:CA4"/>
    <mergeCell ref="CC2:CD2"/>
    <mergeCell ref="CE2:CF2"/>
    <mergeCell ref="H3:I3"/>
    <mergeCell ref="J3:K3"/>
    <mergeCell ref="L3:M3"/>
    <mergeCell ref="N3:O3"/>
    <mergeCell ref="BH3:BH4"/>
    <mergeCell ref="BI3:BI4"/>
    <mergeCell ref="BK3:BK4"/>
    <mergeCell ref="BR2:BR4"/>
    <mergeCell ref="BS2:BS4"/>
    <mergeCell ref="BT2:BT4"/>
    <mergeCell ref="BW2:BW4"/>
    <mergeCell ref="BX2:BX4"/>
    <mergeCell ref="BZ2:BZ4"/>
    <mergeCell ref="BV3:BV4"/>
    <mergeCell ref="BE2:BE4"/>
    <mergeCell ref="C70:AE70"/>
    <mergeCell ref="C59:AE59"/>
    <mergeCell ref="C60:AE60"/>
    <mergeCell ref="C61:AE61"/>
    <mergeCell ref="C62:AE62"/>
    <mergeCell ref="C63:AE63"/>
    <mergeCell ref="C64:AE64"/>
    <mergeCell ref="H50:I50"/>
    <mergeCell ref="J50:K50"/>
    <mergeCell ref="L50:M50"/>
    <mergeCell ref="N50:O50"/>
    <mergeCell ref="P50:Q50"/>
    <mergeCell ref="C58:AE58"/>
    <mergeCell ref="A33:A39"/>
    <mergeCell ref="C83:AE83"/>
    <mergeCell ref="C84:AE84"/>
    <mergeCell ref="C85:AE85"/>
    <mergeCell ref="C86:AE86"/>
    <mergeCell ref="C87:AE87"/>
    <mergeCell ref="C88:AE88"/>
    <mergeCell ref="C77:AE77"/>
    <mergeCell ref="C78:AE78"/>
    <mergeCell ref="C79:AE79"/>
    <mergeCell ref="C80:AE80"/>
    <mergeCell ref="C81:AE81"/>
    <mergeCell ref="C82:AE82"/>
    <mergeCell ref="C71:AE71"/>
    <mergeCell ref="C72:AE72"/>
    <mergeCell ref="C73:AE73"/>
    <mergeCell ref="C74:AE74"/>
    <mergeCell ref="C75:AE75"/>
    <mergeCell ref="C76:AE76"/>
    <mergeCell ref="C65:AE65"/>
    <mergeCell ref="C66:AE66"/>
    <mergeCell ref="C67:AE67"/>
    <mergeCell ref="C68:AE68"/>
    <mergeCell ref="C69:AE69"/>
  </mergeCells>
  <pageMargins left="0.7" right="0.7" top="0.75" bottom="0.75" header="0.3" footer="0.3"/>
  <pageSetup paperSize="9" orientation="portrait" r:id="rId1"/>
  <ignoredErrors>
    <ignoredError sqref="AI15" evalError="1"/>
    <ignoredError sqref="AR27" formula="1"/>
  </ignoredErrors>
</worksheet>
</file>

<file path=xl/worksheets/sheet5.xml><?xml version="1.0" encoding="utf-8"?>
<worksheet xmlns="http://schemas.openxmlformats.org/spreadsheetml/2006/main" xmlns:r="http://schemas.openxmlformats.org/officeDocument/2006/relationships">
  <dimension ref="A1:CF82"/>
  <sheetViews>
    <sheetView workbookViewId="0">
      <pane xSplit="2" ySplit="4" topLeftCell="C62" activePane="bottomRight" state="frozen"/>
      <selection pane="topRight" activeCell="C1" sqref="C1"/>
      <selection pane="bottomLeft" activeCell="A5" sqref="A5"/>
      <selection pane="bottomRight" activeCell="C59" sqref="C59:AE59"/>
    </sheetView>
  </sheetViews>
  <sheetFormatPr defaultRowHeight="15"/>
  <cols>
    <col min="2" max="2" width="10.140625" customWidth="1"/>
    <col min="37" max="37" width="9.5703125" bestFit="1" customWidth="1"/>
    <col min="39" max="39" width="10.28515625" customWidth="1"/>
    <col min="42" max="42" width="9.7109375" customWidth="1"/>
    <col min="43" max="43" width="9.140625" customWidth="1"/>
  </cols>
  <sheetData>
    <row r="1" spans="1:84" ht="18.75" thickBot="1">
      <c r="B1" s="490">
        <v>43221</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7"/>
      <c r="AI1" s="7"/>
      <c r="AJ1" s="7"/>
      <c r="AK1" s="8"/>
      <c r="AL1" s="8"/>
      <c r="AM1" s="8"/>
      <c r="AN1" s="8"/>
      <c r="AO1" s="8"/>
      <c r="AP1" s="8"/>
      <c r="AQ1" s="8"/>
      <c r="AR1" s="8"/>
      <c r="AS1" s="9"/>
      <c r="AT1" s="10"/>
      <c r="AU1" s="10"/>
      <c r="AV1" s="10"/>
      <c r="AW1" s="10"/>
      <c r="AX1" s="10"/>
      <c r="AY1" s="11"/>
      <c r="AZ1" s="11"/>
      <c r="BA1" s="4"/>
      <c r="BS1" s="5"/>
      <c r="BT1" s="5"/>
      <c r="BU1" s="6"/>
    </row>
    <row r="2" spans="1:84" ht="30.75" thickBot="1">
      <c r="A2" s="12"/>
      <c r="B2" s="491" t="s">
        <v>1</v>
      </c>
      <c r="C2" s="442" t="s">
        <v>2</v>
      </c>
      <c r="D2" s="494" t="s">
        <v>3</v>
      </c>
      <c r="E2" s="442" t="s">
        <v>130</v>
      </c>
      <c r="F2" s="497" t="s">
        <v>4</v>
      </c>
      <c r="G2" s="498"/>
      <c r="H2" s="477" t="s">
        <v>5</v>
      </c>
      <c r="I2" s="501"/>
      <c r="J2" s="501"/>
      <c r="K2" s="480"/>
      <c r="L2" s="477" t="s">
        <v>6</v>
      </c>
      <c r="M2" s="501"/>
      <c r="N2" s="501"/>
      <c r="O2" s="480"/>
      <c r="P2" s="502" t="s">
        <v>7</v>
      </c>
      <c r="Q2" s="503"/>
      <c r="R2" s="506" t="s">
        <v>8</v>
      </c>
      <c r="S2" s="422" t="s">
        <v>9</v>
      </c>
      <c r="T2" s="425" t="s">
        <v>10</v>
      </c>
      <c r="U2" s="433" t="s">
        <v>11</v>
      </c>
      <c r="V2" s="436" t="s">
        <v>12</v>
      </c>
      <c r="W2" s="439" t="s">
        <v>13</v>
      </c>
      <c r="X2" s="439" t="s">
        <v>14</v>
      </c>
      <c r="Y2" s="439" t="s">
        <v>15</v>
      </c>
      <c r="Z2" s="439" t="s">
        <v>16</v>
      </c>
      <c r="AA2" s="439" t="s">
        <v>17</v>
      </c>
      <c r="AB2" s="439" t="s">
        <v>18</v>
      </c>
      <c r="AC2" s="515" t="s">
        <v>19</v>
      </c>
      <c r="AD2" s="512" t="s">
        <v>20</v>
      </c>
      <c r="AE2" s="509" t="s">
        <v>21</v>
      </c>
      <c r="AF2" s="512" t="s">
        <v>22</v>
      </c>
      <c r="AG2" s="465" t="s">
        <v>23</v>
      </c>
      <c r="AH2" s="465" t="s">
        <v>24</v>
      </c>
      <c r="AI2" s="465" t="s">
        <v>25</v>
      </c>
      <c r="AJ2" s="468" t="s">
        <v>26</v>
      </c>
      <c r="AK2" s="518" t="s">
        <v>27</v>
      </c>
      <c r="AL2" s="419" t="s">
        <v>28</v>
      </c>
      <c r="AM2" s="468" t="s">
        <v>29</v>
      </c>
      <c r="AN2" s="419" t="s">
        <v>30</v>
      </c>
      <c r="AO2" s="419" t="s">
        <v>31</v>
      </c>
      <c r="AP2" s="468" t="s">
        <v>32</v>
      </c>
      <c r="AQ2" s="521" t="s">
        <v>33</v>
      </c>
      <c r="AR2" s="522" t="s">
        <v>34</v>
      </c>
      <c r="AS2" s="13"/>
      <c r="AT2" s="462" t="s">
        <v>35</v>
      </c>
      <c r="AU2" s="447" t="s">
        <v>36</v>
      </c>
      <c r="AV2" s="447" t="s">
        <v>37</v>
      </c>
      <c r="AW2" s="447" t="s">
        <v>38</v>
      </c>
      <c r="AX2" s="447" t="s">
        <v>39</v>
      </c>
      <c r="AY2" s="447" t="s">
        <v>40</v>
      </c>
      <c r="AZ2" s="447" t="s">
        <v>41</v>
      </c>
      <c r="BA2" s="4"/>
      <c r="BB2" s="447" t="s">
        <v>42</v>
      </c>
      <c r="BC2" s="447" t="s">
        <v>43</v>
      </c>
      <c r="BD2" s="447" t="s">
        <v>44</v>
      </c>
      <c r="BE2" s="447" t="s">
        <v>45</v>
      </c>
      <c r="BF2" s="447" t="s">
        <v>46</v>
      </c>
      <c r="BG2" s="447" t="s">
        <v>47</v>
      </c>
      <c r="BH2" s="14" t="s">
        <v>48</v>
      </c>
      <c r="BI2" s="14" t="s">
        <v>49</v>
      </c>
      <c r="BJ2" s="14" t="s">
        <v>50</v>
      </c>
      <c r="BK2" s="14" t="s">
        <v>51</v>
      </c>
      <c r="BL2" s="445" t="s">
        <v>52</v>
      </c>
      <c r="BM2" s="446"/>
      <c r="BN2" s="14" t="s">
        <v>53</v>
      </c>
      <c r="BO2" s="14" t="s">
        <v>54</v>
      </c>
      <c r="BP2" s="447" t="s">
        <v>55</v>
      </c>
      <c r="BQ2" s="484" t="s">
        <v>56</v>
      </c>
      <c r="BR2" s="484" t="s">
        <v>57</v>
      </c>
      <c r="BS2" s="481" t="s">
        <v>58</v>
      </c>
      <c r="BT2" s="481" t="s">
        <v>59</v>
      </c>
      <c r="BU2" s="6"/>
      <c r="BV2" s="14" t="s">
        <v>60</v>
      </c>
      <c r="BW2" s="447" t="s">
        <v>61</v>
      </c>
      <c r="BX2" s="447" t="s">
        <v>62</v>
      </c>
      <c r="BZ2" s="474" t="s">
        <v>63</v>
      </c>
      <c r="CA2" s="474" t="s">
        <v>64</v>
      </c>
      <c r="CC2" s="487" t="s">
        <v>124</v>
      </c>
      <c r="CD2" s="488"/>
      <c r="CE2" s="487" t="s">
        <v>128</v>
      </c>
      <c r="CF2" s="488"/>
    </row>
    <row r="3" spans="1:84" ht="26.25" thickBot="1">
      <c r="A3" s="16"/>
      <c r="B3" s="492"/>
      <c r="C3" s="443"/>
      <c r="D3" s="495"/>
      <c r="E3" s="443"/>
      <c r="F3" s="499"/>
      <c r="G3" s="500"/>
      <c r="H3" s="477" t="s">
        <v>65</v>
      </c>
      <c r="I3" s="478"/>
      <c r="J3" s="479" t="s">
        <v>66</v>
      </c>
      <c r="K3" s="480"/>
      <c r="L3" s="477" t="s">
        <v>65</v>
      </c>
      <c r="M3" s="478"/>
      <c r="N3" s="479" t="s">
        <v>66</v>
      </c>
      <c r="O3" s="480"/>
      <c r="P3" s="504"/>
      <c r="Q3" s="505"/>
      <c r="R3" s="507"/>
      <c r="S3" s="423"/>
      <c r="T3" s="426"/>
      <c r="U3" s="434"/>
      <c r="V3" s="437"/>
      <c r="W3" s="440"/>
      <c r="X3" s="440"/>
      <c r="Y3" s="440"/>
      <c r="Z3" s="440"/>
      <c r="AA3" s="440"/>
      <c r="AB3" s="440"/>
      <c r="AC3" s="516"/>
      <c r="AD3" s="513"/>
      <c r="AE3" s="510"/>
      <c r="AF3" s="513"/>
      <c r="AG3" s="466"/>
      <c r="AH3" s="466"/>
      <c r="AI3" s="466"/>
      <c r="AJ3" s="469"/>
      <c r="AK3" s="519"/>
      <c r="AL3" s="420"/>
      <c r="AM3" s="469"/>
      <c r="AN3" s="420"/>
      <c r="AO3" s="420"/>
      <c r="AP3" s="469"/>
      <c r="AQ3" s="521"/>
      <c r="AR3" s="523"/>
      <c r="AS3" s="13"/>
      <c r="AT3" s="463"/>
      <c r="AU3" s="440"/>
      <c r="AV3" s="440"/>
      <c r="AW3" s="440"/>
      <c r="AX3" s="440"/>
      <c r="AY3" s="440"/>
      <c r="AZ3" s="440"/>
      <c r="BA3" s="4"/>
      <c r="BB3" s="440"/>
      <c r="BC3" s="440"/>
      <c r="BD3" s="440"/>
      <c r="BE3" s="440"/>
      <c r="BF3" s="440"/>
      <c r="BG3" s="440"/>
      <c r="BH3" s="457" t="s">
        <v>67</v>
      </c>
      <c r="BI3" s="457" t="s">
        <v>67</v>
      </c>
      <c r="BJ3" s="17" t="s">
        <v>68</v>
      </c>
      <c r="BK3" s="449" t="s">
        <v>69</v>
      </c>
      <c r="BL3" s="449" t="s">
        <v>69</v>
      </c>
      <c r="BM3" s="449" t="s">
        <v>70</v>
      </c>
      <c r="BN3" s="457" t="s">
        <v>71</v>
      </c>
      <c r="BO3" s="457" t="s">
        <v>72</v>
      </c>
      <c r="BP3" s="440"/>
      <c r="BQ3" s="485"/>
      <c r="BR3" s="485"/>
      <c r="BS3" s="482"/>
      <c r="BT3" s="482"/>
      <c r="BU3" s="6"/>
      <c r="BV3" s="457" t="s">
        <v>67</v>
      </c>
      <c r="BW3" s="440"/>
      <c r="BX3" s="440"/>
      <c r="BZ3" s="475"/>
      <c r="CA3" s="475"/>
      <c r="CC3" s="211" t="s">
        <v>129</v>
      </c>
      <c r="CD3" s="210" t="s">
        <v>125</v>
      </c>
      <c r="CE3" s="211" t="s">
        <v>129</v>
      </c>
      <c r="CF3" s="210" t="s">
        <v>125</v>
      </c>
    </row>
    <row r="4" spans="1:84" ht="15.75" thickBot="1">
      <c r="A4" s="16"/>
      <c r="B4" s="493"/>
      <c r="C4" s="444"/>
      <c r="D4" s="496"/>
      <c r="E4" s="444"/>
      <c r="F4" s="18" t="s">
        <v>73</v>
      </c>
      <c r="G4" s="19" t="s">
        <v>74</v>
      </c>
      <c r="H4" s="324" t="s">
        <v>75</v>
      </c>
      <c r="I4" s="21" t="s">
        <v>76</v>
      </c>
      <c r="J4" s="21" t="s">
        <v>75</v>
      </c>
      <c r="K4" s="325" t="s">
        <v>76</v>
      </c>
      <c r="L4" s="23" t="s">
        <v>75</v>
      </c>
      <c r="M4" s="21" t="s">
        <v>76</v>
      </c>
      <c r="N4" s="21" t="s">
        <v>75</v>
      </c>
      <c r="O4" s="19" t="s">
        <v>76</v>
      </c>
      <c r="P4" s="21" t="s">
        <v>75</v>
      </c>
      <c r="Q4" s="19" t="s">
        <v>76</v>
      </c>
      <c r="R4" s="508"/>
      <c r="S4" s="424"/>
      <c r="T4" s="427"/>
      <c r="U4" s="435"/>
      <c r="V4" s="438"/>
      <c r="W4" s="441"/>
      <c r="X4" s="441"/>
      <c r="Y4" s="441"/>
      <c r="Z4" s="441"/>
      <c r="AA4" s="441"/>
      <c r="AB4" s="441"/>
      <c r="AC4" s="517"/>
      <c r="AD4" s="514"/>
      <c r="AE4" s="511"/>
      <c r="AF4" s="514"/>
      <c r="AG4" s="467"/>
      <c r="AH4" s="467"/>
      <c r="AI4" s="467"/>
      <c r="AJ4" s="470"/>
      <c r="AK4" s="520"/>
      <c r="AL4" s="421"/>
      <c r="AM4" s="470"/>
      <c r="AN4" s="421"/>
      <c r="AO4" s="421"/>
      <c r="AP4" s="470"/>
      <c r="AQ4" s="521"/>
      <c r="AR4" s="524"/>
      <c r="AS4" s="13"/>
      <c r="AT4" s="464"/>
      <c r="AU4" s="448"/>
      <c r="AV4" s="448"/>
      <c r="AW4" s="448"/>
      <c r="AX4" s="448"/>
      <c r="AY4" s="448"/>
      <c r="AZ4" s="448"/>
      <c r="BA4" s="4"/>
      <c r="BB4" s="448"/>
      <c r="BC4" s="448"/>
      <c r="BD4" s="448"/>
      <c r="BE4" s="448"/>
      <c r="BF4" s="448"/>
      <c r="BG4" s="448"/>
      <c r="BH4" s="458"/>
      <c r="BI4" s="458"/>
      <c r="BJ4" s="17" t="s">
        <v>77</v>
      </c>
      <c r="BK4" s="450"/>
      <c r="BL4" s="450"/>
      <c r="BM4" s="450"/>
      <c r="BN4" s="458"/>
      <c r="BO4" s="458"/>
      <c r="BP4" s="448"/>
      <c r="BQ4" s="486"/>
      <c r="BR4" s="486"/>
      <c r="BS4" s="483"/>
      <c r="BT4" s="483"/>
      <c r="BU4" s="6"/>
      <c r="BV4" s="458"/>
      <c r="BW4" s="448"/>
      <c r="BX4" s="448"/>
      <c r="BZ4" s="476"/>
      <c r="CA4" s="476"/>
      <c r="CC4" s="213" t="s">
        <v>126</v>
      </c>
      <c r="CD4" s="212" t="s">
        <v>127</v>
      </c>
      <c r="CE4" s="213" t="s">
        <v>126</v>
      </c>
      <c r="CF4" s="212" t="s">
        <v>127</v>
      </c>
    </row>
    <row r="5" spans="1:84" ht="15" customHeight="1">
      <c r="A5" s="451" t="s">
        <v>181</v>
      </c>
      <c r="B5" s="24">
        <v>43220</v>
      </c>
      <c r="C5" s="266">
        <v>96.1</v>
      </c>
      <c r="D5" s="26">
        <v>0.38</v>
      </c>
      <c r="E5" s="268">
        <v>68.900000000000006</v>
      </c>
      <c r="F5" s="266">
        <v>109</v>
      </c>
      <c r="G5" s="266">
        <v>82</v>
      </c>
      <c r="H5" s="266">
        <v>24</v>
      </c>
      <c r="I5" s="266">
        <v>0</v>
      </c>
      <c r="J5" s="266">
        <v>24</v>
      </c>
      <c r="K5" s="266">
        <v>0</v>
      </c>
      <c r="L5" s="266">
        <v>0</v>
      </c>
      <c r="M5" s="266">
        <v>0</v>
      </c>
      <c r="N5" s="266">
        <v>0</v>
      </c>
      <c r="O5" s="266">
        <v>0</v>
      </c>
      <c r="P5" s="266">
        <v>11</v>
      </c>
      <c r="Q5" s="266">
        <v>0</v>
      </c>
      <c r="R5" s="267">
        <v>3432</v>
      </c>
      <c r="S5" s="267">
        <v>3199</v>
      </c>
      <c r="T5" s="267">
        <v>3199</v>
      </c>
      <c r="U5" s="267">
        <v>3130</v>
      </c>
      <c r="V5" s="267">
        <v>3233</v>
      </c>
      <c r="W5" s="266">
        <v>42</v>
      </c>
      <c r="X5" s="266">
        <v>0</v>
      </c>
      <c r="Y5" s="28">
        <v>43</v>
      </c>
      <c r="Z5" s="28">
        <v>0</v>
      </c>
      <c r="AA5" s="28">
        <v>57</v>
      </c>
      <c r="AB5" s="27">
        <v>0</v>
      </c>
      <c r="AC5" s="221">
        <f t="shared" ref="AC5:AC39" si="0">V5-U5+AZ5</f>
        <v>103</v>
      </c>
      <c r="AD5" s="222">
        <f t="shared" ref="AD5:AD39" si="1">U5-T5</f>
        <v>-69</v>
      </c>
      <c r="AE5" s="223">
        <v>145</v>
      </c>
      <c r="AF5" s="224">
        <f t="shared" ref="AF5:AF39" si="2">IF(AE5&gt;0, V5/(AE5*24),"no data")</f>
        <v>0.92902298850574716</v>
      </c>
      <c r="AG5" s="225">
        <f t="shared" ref="AG5:AG39" si="3">IF(R5&gt;0,R5/24,"no data")</f>
        <v>143</v>
      </c>
      <c r="AH5" s="224">
        <f t="shared" ref="AH5:AH39" si="4">IF(U5&gt;0,(U5/R5),"no data")</f>
        <v>0.91200466200466201</v>
      </c>
      <c r="AI5" s="226">
        <f t="shared" ref="AI5:AI11" si="5">IF(U5&gt;0,(1440-((W5*X5)+(Y5*Z5)+(AA5*AB5))/(W5+Y5+AA5))/1440,"no data")</f>
        <v>1</v>
      </c>
      <c r="AJ5" s="227">
        <f t="shared" ref="AJ5:AJ39" si="6">IF(U5&gt;0,(1440-((X5*W5+AT5*AU5)+(Z5*Y5+AV5*AW5)+(AA5*AB5+AX5*AY5))/(W5+Y5+AA5))/1440,"no data")</f>
        <v>0.94278169014084512</v>
      </c>
      <c r="AK5" s="271">
        <v>9.58</v>
      </c>
      <c r="AL5" s="272">
        <v>140.94</v>
      </c>
      <c r="AM5" s="38">
        <f t="shared" ref="AM5:AM39" si="7">AK5*AL5</f>
        <v>1350.2051999999999</v>
      </c>
      <c r="AN5" s="271">
        <v>26.68</v>
      </c>
      <c r="AO5" s="327">
        <v>960.92</v>
      </c>
      <c r="AP5" s="39">
        <f t="shared" ref="AP5:AP39" si="8">AN5*AO5</f>
        <v>25637.345599999997</v>
      </c>
      <c r="AQ5" s="319">
        <f t="shared" ref="AQ5:AQ39" si="9">IF(U5&gt;0,((((AK5*AL5)+(AN5*AO5))/(U5*1000))*1000000),"no data")</f>
        <v>8622.2207028753983</v>
      </c>
      <c r="AR5" s="229">
        <f t="shared" ref="AR5:AR20" si="10">S5/24</f>
        <v>133.29166666666666</v>
      </c>
      <c r="AS5" s="13"/>
      <c r="AT5" s="27">
        <v>0</v>
      </c>
      <c r="AU5" s="40">
        <v>0</v>
      </c>
      <c r="AV5" s="40">
        <v>0</v>
      </c>
      <c r="AW5" s="27">
        <v>0</v>
      </c>
      <c r="AX5" s="292">
        <v>15</v>
      </c>
      <c r="AY5" s="27">
        <v>780</v>
      </c>
      <c r="AZ5" s="27">
        <v>0</v>
      </c>
      <c r="BA5" s="4"/>
      <c r="BB5" s="41">
        <v>1019</v>
      </c>
      <c r="BC5" s="41">
        <v>1043</v>
      </c>
      <c r="BD5" s="41">
        <v>1171</v>
      </c>
      <c r="BE5" s="41">
        <f t="shared" ref="BE5:BE39" si="11">BC5-BB5</f>
        <v>24</v>
      </c>
      <c r="BF5" s="41">
        <f t="shared" ref="BF5:BF41" si="12">AQ5</f>
        <v>8622.2207028753983</v>
      </c>
      <c r="BG5" s="77">
        <f t="shared" ref="BG5:BG39" si="13">BD5/24</f>
        <v>48.791666666666664</v>
      </c>
      <c r="BH5" s="43">
        <v>0.95799999999999996</v>
      </c>
      <c r="BI5" s="44">
        <v>0.95799999999999996</v>
      </c>
      <c r="BJ5" s="45">
        <v>27</v>
      </c>
      <c r="BK5" s="46">
        <v>26.56</v>
      </c>
      <c r="BL5" s="45">
        <v>21.52</v>
      </c>
      <c r="BM5" s="45">
        <v>27.06</v>
      </c>
      <c r="BN5" s="47">
        <v>982.83</v>
      </c>
      <c r="BO5" s="45">
        <v>50.01</v>
      </c>
      <c r="BP5" s="48">
        <v>0.93910000000000005</v>
      </c>
      <c r="BQ5" s="66">
        <v>95.48</v>
      </c>
      <c r="BR5" s="45">
        <v>86.85</v>
      </c>
      <c r="BS5" s="41">
        <v>12242</v>
      </c>
      <c r="BT5" s="41">
        <v>11948</v>
      </c>
      <c r="BU5" s="51">
        <f t="shared" ref="BU5:BU39" si="14">BT5-BS5</f>
        <v>-294</v>
      </c>
      <c r="BV5" s="62">
        <f>BH5+BI5</f>
        <v>1.9159999999999999</v>
      </c>
      <c r="BW5" s="42">
        <v>11</v>
      </c>
      <c r="BX5" s="42">
        <v>11</v>
      </c>
      <c r="BZ5" s="42">
        <v>24</v>
      </c>
      <c r="CA5" s="42">
        <v>6.73</v>
      </c>
      <c r="CC5" s="42">
        <v>2.2000000000000002</v>
      </c>
      <c r="CD5" s="42">
        <v>3.9</v>
      </c>
      <c r="CE5" s="42">
        <v>1.8</v>
      </c>
      <c r="CF5" s="42">
        <v>1.5</v>
      </c>
    </row>
    <row r="6" spans="1:84">
      <c r="A6" s="452"/>
      <c r="B6" s="24">
        <v>43221</v>
      </c>
      <c r="C6" s="266">
        <v>95.3</v>
      </c>
      <c r="D6" s="26">
        <v>0.372</v>
      </c>
      <c r="E6" s="268">
        <v>68</v>
      </c>
      <c r="F6" s="266">
        <v>109</v>
      </c>
      <c r="G6" s="266">
        <v>82</v>
      </c>
      <c r="H6" s="266">
        <v>24</v>
      </c>
      <c r="I6" s="266">
        <v>0</v>
      </c>
      <c r="J6" s="266">
        <v>24</v>
      </c>
      <c r="K6" s="269">
        <v>0</v>
      </c>
      <c r="L6" s="269">
        <v>0</v>
      </c>
      <c r="M6" s="269">
        <v>0</v>
      </c>
      <c r="N6" s="266">
        <v>0</v>
      </c>
      <c r="O6" s="266">
        <v>0</v>
      </c>
      <c r="P6" s="266">
        <v>24</v>
      </c>
      <c r="Q6" s="266">
        <v>0</v>
      </c>
      <c r="R6" s="267">
        <v>3441</v>
      </c>
      <c r="S6" s="267">
        <v>3378</v>
      </c>
      <c r="T6" s="267">
        <v>3378</v>
      </c>
      <c r="U6" s="267">
        <v>3308</v>
      </c>
      <c r="V6" s="267">
        <v>3416</v>
      </c>
      <c r="W6" s="266">
        <v>42</v>
      </c>
      <c r="X6" s="266">
        <v>0</v>
      </c>
      <c r="Y6" s="270">
        <v>43</v>
      </c>
      <c r="Z6" s="28">
        <v>0</v>
      </c>
      <c r="AA6" s="28">
        <v>56</v>
      </c>
      <c r="AB6" s="27">
        <v>0</v>
      </c>
      <c r="AC6" s="221">
        <f t="shared" si="0"/>
        <v>108</v>
      </c>
      <c r="AD6" s="222">
        <f t="shared" si="1"/>
        <v>-70</v>
      </c>
      <c r="AE6" s="223">
        <v>147</v>
      </c>
      <c r="AF6" s="224">
        <f t="shared" si="2"/>
        <v>0.96825396825396826</v>
      </c>
      <c r="AG6" s="225">
        <f t="shared" si="3"/>
        <v>143.375</v>
      </c>
      <c r="AH6" s="224">
        <f t="shared" si="4"/>
        <v>0.96134844521941298</v>
      </c>
      <c r="AI6" s="226">
        <f t="shared" si="5"/>
        <v>1</v>
      </c>
      <c r="AJ6" s="227">
        <f t="shared" si="6"/>
        <v>1</v>
      </c>
      <c r="AK6" s="234">
        <v>9.4849999999999994</v>
      </c>
      <c r="AL6" s="237">
        <v>142.37</v>
      </c>
      <c r="AM6" s="38">
        <f t="shared" si="7"/>
        <v>1350.3794499999999</v>
      </c>
      <c r="AN6" s="234">
        <v>28.646999999999998</v>
      </c>
      <c r="AO6" s="330">
        <v>975.91</v>
      </c>
      <c r="AP6" s="39">
        <f t="shared" si="8"/>
        <v>27956.893769999999</v>
      </c>
      <c r="AQ6" s="228">
        <f t="shared" si="9"/>
        <v>8859.514274486095</v>
      </c>
      <c r="AR6" s="229">
        <f t="shared" si="10"/>
        <v>140.75</v>
      </c>
      <c r="AS6" s="13"/>
      <c r="AT6" s="27">
        <v>0</v>
      </c>
      <c r="AU6" s="40">
        <v>0</v>
      </c>
      <c r="AV6" s="40">
        <v>0</v>
      </c>
      <c r="AW6" s="27">
        <v>0</v>
      </c>
      <c r="AX6" s="40">
        <v>0</v>
      </c>
      <c r="AY6" s="27">
        <v>0</v>
      </c>
      <c r="AZ6" s="27">
        <v>0</v>
      </c>
      <c r="BA6" s="4"/>
      <c r="BB6" s="41">
        <v>1022</v>
      </c>
      <c r="BC6" s="41">
        <v>1044</v>
      </c>
      <c r="BD6" s="41">
        <v>1350</v>
      </c>
      <c r="BE6" s="41">
        <f t="shared" si="11"/>
        <v>22</v>
      </c>
      <c r="BF6" s="41">
        <f t="shared" si="12"/>
        <v>8859.514274486095</v>
      </c>
      <c r="BG6" s="77">
        <f t="shared" si="13"/>
        <v>56.25</v>
      </c>
      <c r="BH6" s="43">
        <v>1.907</v>
      </c>
      <c r="BI6" s="44">
        <v>1.907</v>
      </c>
      <c r="BJ6" s="45">
        <v>27</v>
      </c>
      <c r="BK6" s="45">
        <v>26.51</v>
      </c>
      <c r="BL6" s="46">
        <v>21.39</v>
      </c>
      <c r="BM6" s="45">
        <v>27.14</v>
      </c>
      <c r="BN6" s="47">
        <v>983.92</v>
      </c>
      <c r="BO6" s="45">
        <v>49.96</v>
      </c>
      <c r="BP6" s="48">
        <v>0.94</v>
      </c>
      <c r="BQ6" s="204">
        <v>95.3</v>
      </c>
      <c r="BR6" s="45">
        <v>85.65</v>
      </c>
      <c r="BS6" s="41">
        <v>12193</v>
      </c>
      <c r="BT6" s="41">
        <v>11883</v>
      </c>
      <c r="BU6" s="51">
        <f t="shared" si="14"/>
        <v>-310</v>
      </c>
      <c r="BV6" s="62">
        <f t="shared" ref="BV6:BV27" si="15">BH6+BI6</f>
        <v>3.8140000000000001</v>
      </c>
      <c r="BW6" s="42">
        <v>24</v>
      </c>
      <c r="BX6" s="42">
        <v>24</v>
      </c>
      <c r="BZ6" s="42">
        <v>24</v>
      </c>
      <c r="CA6" s="42">
        <v>6.95</v>
      </c>
      <c r="CC6" s="42">
        <v>2.1</v>
      </c>
      <c r="CD6" s="42">
        <v>3.8</v>
      </c>
      <c r="CE6" s="42">
        <v>1.8</v>
      </c>
      <c r="CF6" s="42">
        <v>1.7</v>
      </c>
    </row>
    <row r="7" spans="1:84">
      <c r="A7" s="452"/>
      <c r="B7" s="24">
        <v>43222</v>
      </c>
      <c r="C7" s="266">
        <v>92.2</v>
      </c>
      <c r="D7" s="26">
        <v>0.35399999999999998</v>
      </c>
      <c r="E7" s="329">
        <v>65.7</v>
      </c>
      <c r="F7" s="242">
        <v>99</v>
      </c>
      <c r="G7" s="242">
        <v>86</v>
      </c>
      <c r="H7" s="242">
        <v>22</v>
      </c>
      <c r="I7" s="242">
        <v>21</v>
      </c>
      <c r="J7" s="242">
        <v>23</v>
      </c>
      <c r="K7" s="242">
        <v>42</v>
      </c>
      <c r="L7" s="242">
        <v>0</v>
      </c>
      <c r="M7" s="242">
        <v>0</v>
      </c>
      <c r="N7" s="242">
        <v>0</v>
      </c>
      <c r="O7" s="242">
        <v>0</v>
      </c>
      <c r="P7" s="242">
        <v>20</v>
      </c>
      <c r="Q7" s="242">
        <v>0</v>
      </c>
      <c r="R7" s="267">
        <v>3350</v>
      </c>
      <c r="S7" s="267">
        <v>3244</v>
      </c>
      <c r="T7" s="267">
        <v>3244</v>
      </c>
      <c r="U7" s="267">
        <v>3188</v>
      </c>
      <c r="V7" s="267">
        <v>3290</v>
      </c>
      <c r="W7" s="266">
        <v>43</v>
      </c>
      <c r="X7" s="266">
        <v>62</v>
      </c>
      <c r="Y7" s="270">
        <v>44</v>
      </c>
      <c r="Z7" s="28">
        <v>0</v>
      </c>
      <c r="AA7" s="28">
        <v>56</v>
      </c>
      <c r="AB7" s="27">
        <v>0</v>
      </c>
      <c r="AC7" s="221">
        <f t="shared" si="0"/>
        <v>102</v>
      </c>
      <c r="AD7" s="222">
        <f t="shared" si="1"/>
        <v>-56</v>
      </c>
      <c r="AE7" s="223">
        <v>146</v>
      </c>
      <c r="AF7" s="224">
        <f t="shared" si="2"/>
        <v>0.9389269406392694</v>
      </c>
      <c r="AG7" s="225">
        <f t="shared" si="3"/>
        <v>139.58333333333334</v>
      </c>
      <c r="AH7" s="224">
        <f t="shared" si="4"/>
        <v>0.95164179104477609</v>
      </c>
      <c r="AI7" s="226">
        <f t="shared" si="5"/>
        <v>0.98705322455322464</v>
      </c>
      <c r="AJ7" s="227">
        <f t="shared" si="6"/>
        <v>0.95963480963480963</v>
      </c>
      <c r="AK7" s="235">
        <v>9.48</v>
      </c>
      <c r="AL7" s="238">
        <v>140.82</v>
      </c>
      <c r="AM7" s="38">
        <f t="shared" si="7"/>
        <v>1334.9736</v>
      </c>
      <c r="AN7" s="235">
        <v>27.503</v>
      </c>
      <c r="AO7" s="330">
        <v>976.11699999999996</v>
      </c>
      <c r="AP7" s="39">
        <f t="shared" si="8"/>
        <v>26846.145850999997</v>
      </c>
      <c r="AQ7" s="228">
        <f t="shared" si="9"/>
        <v>8839.7488867628599</v>
      </c>
      <c r="AR7" s="229">
        <f t="shared" si="10"/>
        <v>135.16666666666666</v>
      </c>
      <c r="AS7" s="13"/>
      <c r="AT7" s="27">
        <v>18</v>
      </c>
      <c r="AU7" s="40">
        <v>37</v>
      </c>
      <c r="AV7" s="40">
        <v>10</v>
      </c>
      <c r="AW7" s="27">
        <v>18</v>
      </c>
      <c r="AX7" s="40">
        <v>20</v>
      </c>
      <c r="AY7" s="27">
        <v>240</v>
      </c>
      <c r="AZ7" s="27">
        <v>0</v>
      </c>
      <c r="BA7" s="332">
        <f t="shared" ref="BA7:BA12" si="16">BC7-BB7</f>
        <v>80</v>
      </c>
      <c r="BB7" s="41">
        <v>974</v>
      </c>
      <c r="BC7" s="41">
        <v>1054</v>
      </c>
      <c r="BD7" s="41">
        <v>1262</v>
      </c>
      <c r="BE7" s="41">
        <f t="shared" si="11"/>
        <v>80</v>
      </c>
      <c r="BF7" s="41">
        <f t="shared" si="12"/>
        <v>8839.7488867628599</v>
      </c>
      <c r="BG7" s="77">
        <f t="shared" si="13"/>
        <v>52.583333333333336</v>
      </c>
      <c r="BH7" s="43">
        <v>1.5409999999999999</v>
      </c>
      <c r="BI7" s="44">
        <v>1.5409999999999999</v>
      </c>
      <c r="BJ7" s="45">
        <v>27</v>
      </c>
      <c r="BK7" s="46">
        <v>25.42</v>
      </c>
      <c r="BL7" s="45">
        <v>21.67</v>
      </c>
      <c r="BM7" s="45">
        <v>27</v>
      </c>
      <c r="BN7" s="47">
        <v>984.88</v>
      </c>
      <c r="BO7" s="45">
        <v>50</v>
      </c>
      <c r="BP7" s="48">
        <v>0.93940000000000001</v>
      </c>
      <c r="BQ7" s="46">
        <v>95.05</v>
      </c>
      <c r="BR7" s="45">
        <v>86.51</v>
      </c>
      <c r="BS7" s="41">
        <v>12157</v>
      </c>
      <c r="BT7" s="41">
        <v>11868</v>
      </c>
      <c r="BU7" s="51">
        <f t="shared" si="14"/>
        <v>-289</v>
      </c>
      <c r="BV7" s="62">
        <f t="shared" si="15"/>
        <v>3.0819999999999999</v>
      </c>
      <c r="BW7" s="42">
        <v>20.100000000000001</v>
      </c>
      <c r="BX7" s="42">
        <v>20.100000000000001</v>
      </c>
      <c r="BZ7" s="42">
        <v>21.38</v>
      </c>
      <c r="CA7" s="42">
        <v>6.5</v>
      </c>
      <c r="CC7" s="42">
        <v>2.2000000000000002</v>
      </c>
      <c r="CD7" s="42">
        <v>3.9</v>
      </c>
      <c r="CE7" s="42">
        <v>1.8</v>
      </c>
      <c r="CF7" s="42">
        <v>1.8</v>
      </c>
    </row>
    <row r="8" spans="1:84">
      <c r="A8" s="452"/>
      <c r="B8" s="24">
        <v>43223</v>
      </c>
      <c r="C8" s="25">
        <v>89.9</v>
      </c>
      <c r="D8" s="36">
        <v>0.4088</v>
      </c>
      <c r="E8" s="38">
        <v>66</v>
      </c>
      <c r="F8" s="242">
        <v>99</v>
      </c>
      <c r="G8" s="27">
        <v>80</v>
      </c>
      <c r="H8" s="27">
        <v>24</v>
      </c>
      <c r="I8" s="27">
        <v>0</v>
      </c>
      <c r="J8" s="27">
        <v>24</v>
      </c>
      <c r="K8" s="27">
        <v>0</v>
      </c>
      <c r="L8" s="29">
        <v>0</v>
      </c>
      <c r="M8" s="29">
        <v>0</v>
      </c>
      <c r="N8" s="29">
        <v>0</v>
      </c>
      <c r="O8" s="29">
        <v>0</v>
      </c>
      <c r="P8" s="29">
        <v>13</v>
      </c>
      <c r="Q8" s="29">
        <v>0</v>
      </c>
      <c r="R8" s="267">
        <v>3500</v>
      </c>
      <c r="S8" s="267">
        <v>3241</v>
      </c>
      <c r="T8" s="267">
        <v>3241</v>
      </c>
      <c r="U8" s="267">
        <v>3171</v>
      </c>
      <c r="V8" s="267">
        <v>3275</v>
      </c>
      <c r="W8" s="27">
        <v>43</v>
      </c>
      <c r="X8" s="27">
        <v>0</v>
      </c>
      <c r="Y8" s="28">
        <v>44</v>
      </c>
      <c r="Z8" s="28">
        <v>0</v>
      </c>
      <c r="AA8" s="28">
        <v>56</v>
      </c>
      <c r="AB8" s="27">
        <v>0</v>
      </c>
      <c r="AC8" s="221">
        <f t="shared" si="0"/>
        <v>104</v>
      </c>
      <c r="AD8" s="222">
        <f t="shared" si="1"/>
        <v>-70</v>
      </c>
      <c r="AE8" s="223">
        <v>144</v>
      </c>
      <c r="AF8" s="224">
        <f t="shared" si="2"/>
        <v>0.94762731481481477</v>
      </c>
      <c r="AG8" s="225">
        <f t="shared" si="3"/>
        <v>145.83333333333334</v>
      </c>
      <c r="AH8" s="224">
        <f t="shared" si="4"/>
        <v>0.90600000000000003</v>
      </c>
      <c r="AI8" s="226">
        <f t="shared" si="5"/>
        <v>1</v>
      </c>
      <c r="AJ8" s="227">
        <f t="shared" si="6"/>
        <v>0.95512820512820518</v>
      </c>
      <c r="AK8" s="235">
        <v>9.484</v>
      </c>
      <c r="AL8" s="239">
        <v>140.9</v>
      </c>
      <c r="AM8" s="38">
        <f t="shared" si="7"/>
        <v>1336.2956000000001</v>
      </c>
      <c r="AN8" s="235">
        <v>26.98</v>
      </c>
      <c r="AO8" s="330">
        <v>973.99900000000002</v>
      </c>
      <c r="AP8" s="39">
        <f t="shared" si="8"/>
        <v>26278.493020000002</v>
      </c>
      <c r="AQ8" s="201">
        <f t="shared" si="9"/>
        <v>8708.5426111636716</v>
      </c>
      <c r="AR8" s="198">
        <f t="shared" si="10"/>
        <v>135.04166666666666</v>
      </c>
      <c r="AS8" s="13"/>
      <c r="AT8" s="27">
        <v>0</v>
      </c>
      <c r="AU8" s="40">
        <v>0</v>
      </c>
      <c r="AV8" s="40">
        <v>0</v>
      </c>
      <c r="AW8" s="27">
        <v>0</v>
      </c>
      <c r="AX8" s="40">
        <v>14</v>
      </c>
      <c r="AY8" s="27">
        <v>660</v>
      </c>
      <c r="AZ8" s="27">
        <v>0</v>
      </c>
      <c r="BA8" s="332">
        <f t="shared" si="16"/>
        <v>21</v>
      </c>
      <c r="BB8" s="41">
        <v>1039</v>
      </c>
      <c r="BC8" s="41">
        <v>1060</v>
      </c>
      <c r="BD8" s="41">
        <v>1176</v>
      </c>
      <c r="BE8" s="41">
        <f t="shared" si="11"/>
        <v>21</v>
      </c>
      <c r="BF8" s="41">
        <f t="shared" si="12"/>
        <v>8708.5426111636716</v>
      </c>
      <c r="BG8" s="77">
        <f t="shared" si="13"/>
        <v>49</v>
      </c>
      <c r="BH8" s="43">
        <v>0.95799999999999996</v>
      </c>
      <c r="BI8" s="44">
        <v>0.96199999999999997</v>
      </c>
      <c r="BJ8" s="45">
        <v>27</v>
      </c>
      <c r="BK8" s="46">
        <v>27.03</v>
      </c>
      <c r="BL8" s="45">
        <v>21.84</v>
      </c>
      <c r="BM8" s="45">
        <v>26.83</v>
      </c>
      <c r="BN8" s="47">
        <v>984.58</v>
      </c>
      <c r="BO8" s="45">
        <v>50.03</v>
      </c>
      <c r="BP8" s="53">
        <v>0.93969999999999998</v>
      </c>
      <c r="BQ8" s="45">
        <v>95.82</v>
      </c>
      <c r="BR8" s="45">
        <v>86.45</v>
      </c>
      <c r="BS8" s="41">
        <v>12228</v>
      </c>
      <c r="BT8" s="41">
        <v>11882</v>
      </c>
      <c r="BU8" s="51">
        <f t="shared" si="14"/>
        <v>-346</v>
      </c>
      <c r="BV8" s="62">
        <f t="shared" si="15"/>
        <v>1.92</v>
      </c>
      <c r="BW8" s="42">
        <v>13</v>
      </c>
      <c r="BX8" s="42">
        <v>13</v>
      </c>
      <c r="BZ8" s="42">
        <v>24</v>
      </c>
      <c r="CA8" s="42">
        <v>7.7</v>
      </c>
      <c r="CC8" s="42">
        <v>2.1</v>
      </c>
      <c r="CD8" s="42">
        <v>3.9</v>
      </c>
      <c r="CE8" s="42">
        <v>1.8</v>
      </c>
      <c r="CF8" s="42">
        <v>1.5</v>
      </c>
    </row>
    <row r="9" spans="1:84">
      <c r="A9" s="452"/>
      <c r="B9" s="24">
        <v>43224</v>
      </c>
      <c r="C9" s="25">
        <v>89.97</v>
      </c>
      <c r="D9" s="26">
        <v>0.44500000000000001</v>
      </c>
      <c r="E9" s="38">
        <v>67.790000000000006</v>
      </c>
      <c r="F9" s="242">
        <v>101</v>
      </c>
      <c r="G9" s="27">
        <v>78</v>
      </c>
      <c r="H9" s="28">
        <v>24</v>
      </c>
      <c r="I9" s="28">
        <v>0</v>
      </c>
      <c r="J9" s="28">
        <v>24</v>
      </c>
      <c r="K9" s="28">
        <v>0</v>
      </c>
      <c r="L9" s="29">
        <v>0</v>
      </c>
      <c r="M9" s="29">
        <v>0</v>
      </c>
      <c r="N9" s="29">
        <v>0</v>
      </c>
      <c r="O9" s="29">
        <v>0</v>
      </c>
      <c r="P9" s="29">
        <v>24</v>
      </c>
      <c r="Q9" s="29">
        <v>0</v>
      </c>
      <c r="R9" s="267">
        <v>3494</v>
      </c>
      <c r="S9" s="333">
        <v>3403</v>
      </c>
      <c r="T9" s="333">
        <v>3403</v>
      </c>
      <c r="U9" s="333">
        <v>3321</v>
      </c>
      <c r="V9" s="333">
        <v>3428</v>
      </c>
      <c r="W9" s="28">
        <v>43</v>
      </c>
      <c r="X9" s="28">
        <v>0</v>
      </c>
      <c r="Y9" s="28">
        <v>44</v>
      </c>
      <c r="Z9" s="28">
        <v>0</v>
      </c>
      <c r="AA9" s="28">
        <v>56</v>
      </c>
      <c r="AB9" s="27">
        <v>0</v>
      </c>
      <c r="AC9" s="221">
        <f t="shared" si="0"/>
        <v>107</v>
      </c>
      <c r="AD9" s="222">
        <f t="shared" si="1"/>
        <v>-82</v>
      </c>
      <c r="AE9" s="223">
        <v>147</v>
      </c>
      <c r="AF9" s="224">
        <f t="shared" si="2"/>
        <v>0.97165532879818595</v>
      </c>
      <c r="AG9" s="225">
        <f t="shared" si="3"/>
        <v>145.58333333333334</v>
      </c>
      <c r="AH9" s="224">
        <f t="shared" si="4"/>
        <v>0.95048654836863189</v>
      </c>
      <c r="AI9" s="226">
        <f t="shared" si="5"/>
        <v>1</v>
      </c>
      <c r="AJ9" s="227">
        <f t="shared" si="6"/>
        <v>1</v>
      </c>
      <c r="AK9" s="235">
        <v>9.49</v>
      </c>
      <c r="AL9" s="239">
        <v>141.22</v>
      </c>
      <c r="AM9" s="38">
        <f t="shared" si="7"/>
        <v>1340.1777999999999</v>
      </c>
      <c r="AN9" s="235">
        <v>28.756</v>
      </c>
      <c r="AO9" s="330">
        <v>972.97955209347617</v>
      </c>
      <c r="AP9" s="39">
        <f t="shared" si="8"/>
        <v>27979</v>
      </c>
      <c r="AQ9" s="201">
        <f t="shared" si="9"/>
        <v>8828.4184884071074</v>
      </c>
      <c r="AR9" s="198">
        <f t="shared" si="10"/>
        <v>141.79166666666666</v>
      </c>
      <c r="AS9" s="13"/>
      <c r="AT9" s="27">
        <v>0</v>
      </c>
      <c r="AU9" s="40">
        <v>0</v>
      </c>
      <c r="AV9" s="40">
        <v>0</v>
      </c>
      <c r="AW9" s="27">
        <v>0</v>
      </c>
      <c r="AX9" s="40">
        <v>0</v>
      </c>
      <c r="AY9" s="27">
        <v>0</v>
      </c>
      <c r="AZ9" s="27">
        <v>0</v>
      </c>
      <c r="BA9" s="332">
        <f t="shared" si="16"/>
        <v>19</v>
      </c>
      <c r="BB9" s="41">
        <v>1033</v>
      </c>
      <c r="BC9" s="41">
        <v>1052</v>
      </c>
      <c r="BD9" s="41">
        <v>1343</v>
      </c>
      <c r="BE9" s="41">
        <f t="shared" si="11"/>
        <v>19</v>
      </c>
      <c r="BF9" s="41">
        <f t="shared" si="12"/>
        <v>8828.4184884071074</v>
      </c>
      <c r="BG9" s="77">
        <f t="shared" si="13"/>
        <v>55.958333333333336</v>
      </c>
      <c r="BH9" s="43">
        <v>1.84</v>
      </c>
      <c r="BI9" s="44">
        <v>1.84</v>
      </c>
      <c r="BJ9" s="45">
        <v>27</v>
      </c>
      <c r="BK9" s="46">
        <v>26.91</v>
      </c>
      <c r="BL9" s="47">
        <v>21.8</v>
      </c>
      <c r="BM9" s="47">
        <v>26.52</v>
      </c>
      <c r="BN9" s="47">
        <v>985.83</v>
      </c>
      <c r="BO9" s="45">
        <v>50.04</v>
      </c>
      <c r="BP9" s="48">
        <v>0.93959999999999999</v>
      </c>
      <c r="BQ9" s="42">
        <v>96.13</v>
      </c>
      <c r="BR9" s="42">
        <v>86.57</v>
      </c>
      <c r="BS9" s="41">
        <v>12243</v>
      </c>
      <c r="BT9" s="41">
        <v>11914</v>
      </c>
      <c r="BU9" s="51">
        <f t="shared" si="14"/>
        <v>-329</v>
      </c>
      <c r="BV9" s="62">
        <f t="shared" si="15"/>
        <v>3.68</v>
      </c>
      <c r="BW9" s="42">
        <v>24</v>
      </c>
      <c r="BX9" s="42">
        <v>24</v>
      </c>
      <c r="BZ9" s="42">
        <v>24</v>
      </c>
      <c r="CA9" s="42">
        <v>8.3000000000000007</v>
      </c>
      <c r="CC9" s="42">
        <v>2</v>
      </c>
      <c r="CD9" s="42">
        <v>3.73</v>
      </c>
      <c r="CE9" s="42">
        <v>1.8</v>
      </c>
      <c r="CF9" s="42">
        <v>1.71</v>
      </c>
    </row>
    <row r="10" spans="1:84">
      <c r="A10" s="452"/>
      <c r="B10" s="24">
        <v>43225</v>
      </c>
      <c r="C10" s="25">
        <v>91.78</v>
      </c>
      <c r="D10" s="26">
        <v>0.4138</v>
      </c>
      <c r="E10" s="38">
        <v>67.599999999999994</v>
      </c>
      <c r="F10" s="242">
        <v>106</v>
      </c>
      <c r="G10" s="27">
        <v>81</v>
      </c>
      <c r="H10" s="28">
        <v>24</v>
      </c>
      <c r="I10" s="28">
        <v>0</v>
      </c>
      <c r="J10" s="28">
        <v>22</v>
      </c>
      <c r="K10" s="28">
        <v>2</v>
      </c>
      <c r="L10" s="29">
        <v>0</v>
      </c>
      <c r="M10" s="29">
        <v>0</v>
      </c>
      <c r="N10" s="29">
        <v>0</v>
      </c>
      <c r="O10" s="29">
        <v>0</v>
      </c>
      <c r="P10" s="29">
        <v>22</v>
      </c>
      <c r="Q10" s="29">
        <v>2</v>
      </c>
      <c r="R10" s="267">
        <v>3481</v>
      </c>
      <c r="S10" s="333">
        <v>3270</v>
      </c>
      <c r="T10" s="333">
        <v>3270</v>
      </c>
      <c r="U10" s="333">
        <v>3192</v>
      </c>
      <c r="V10" s="333">
        <v>3296</v>
      </c>
      <c r="W10" s="28">
        <v>43</v>
      </c>
      <c r="X10" s="28">
        <v>0</v>
      </c>
      <c r="Y10" s="28">
        <v>44</v>
      </c>
      <c r="Z10" s="28">
        <v>99</v>
      </c>
      <c r="AA10" s="28">
        <v>56</v>
      </c>
      <c r="AB10" s="27">
        <v>0</v>
      </c>
      <c r="AC10" s="32">
        <f t="shared" si="0"/>
        <v>104</v>
      </c>
      <c r="AD10" s="33">
        <f t="shared" si="1"/>
        <v>-78</v>
      </c>
      <c r="AE10" s="27">
        <v>145</v>
      </c>
      <c r="AF10" s="34">
        <f t="shared" si="2"/>
        <v>0.94712643678160924</v>
      </c>
      <c r="AG10" s="35">
        <f t="shared" si="3"/>
        <v>145.04166666666666</v>
      </c>
      <c r="AH10" s="34">
        <f t="shared" si="4"/>
        <v>0.91697787991956337</v>
      </c>
      <c r="AI10" s="226">
        <f t="shared" si="5"/>
        <v>0.97884615384615381</v>
      </c>
      <c r="AJ10" s="37">
        <f t="shared" si="6"/>
        <v>0.96524378399378397</v>
      </c>
      <c r="AK10" s="235">
        <v>8.6549999999999994</v>
      </c>
      <c r="AL10" s="239">
        <v>145.07</v>
      </c>
      <c r="AM10" s="38">
        <f t="shared" si="7"/>
        <v>1255.5808499999998</v>
      </c>
      <c r="AN10" s="235">
        <v>27.91</v>
      </c>
      <c r="AO10" s="330">
        <v>972.87710498029378</v>
      </c>
      <c r="AP10" s="39">
        <f t="shared" si="8"/>
        <v>27153</v>
      </c>
      <c r="AQ10" s="201">
        <f t="shared" si="9"/>
        <v>8899.9313439849611</v>
      </c>
      <c r="AR10" s="198">
        <f t="shared" si="10"/>
        <v>136.25</v>
      </c>
      <c r="AS10" s="13"/>
      <c r="AT10" s="27">
        <v>0</v>
      </c>
      <c r="AU10" s="40">
        <v>0</v>
      </c>
      <c r="AV10" s="40">
        <v>17</v>
      </c>
      <c r="AW10" s="27">
        <v>19</v>
      </c>
      <c r="AX10" s="40">
        <v>21</v>
      </c>
      <c r="AY10" s="27">
        <v>118</v>
      </c>
      <c r="AZ10" s="27">
        <v>0</v>
      </c>
      <c r="BA10" s="332">
        <f t="shared" si="16"/>
        <v>-60</v>
      </c>
      <c r="BB10" s="41">
        <v>1031</v>
      </c>
      <c r="BC10" s="41">
        <v>971</v>
      </c>
      <c r="BD10" s="41">
        <v>1294</v>
      </c>
      <c r="BE10" s="41">
        <f t="shared" si="11"/>
        <v>-60</v>
      </c>
      <c r="BF10" s="41">
        <f t="shared" si="12"/>
        <v>8899.9313439849611</v>
      </c>
      <c r="BG10" s="77">
        <f t="shared" si="13"/>
        <v>53.916666666666664</v>
      </c>
      <c r="BH10" s="43">
        <v>1.8740000000000001</v>
      </c>
      <c r="BI10" s="44">
        <v>1.6379999999999999</v>
      </c>
      <c r="BJ10" s="45">
        <v>27</v>
      </c>
      <c r="BK10" s="46">
        <v>26.96</v>
      </c>
      <c r="BL10" s="47">
        <v>20.39</v>
      </c>
      <c r="BM10" s="47">
        <v>24.58</v>
      </c>
      <c r="BN10" s="47">
        <v>985.13</v>
      </c>
      <c r="BO10" s="45">
        <v>50.05</v>
      </c>
      <c r="BP10" s="48">
        <v>0.93959999999999999</v>
      </c>
      <c r="BQ10" s="42">
        <v>95.93</v>
      </c>
      <c r="BR10" s="42">
        <v>86.5</v>
      </c>
      <c r="BS10" s="41">
        <v>12272</v>
      </c>
      <c r="BT10" s="41">
        <v>11923</v>
      </c>
      <c r="BU10" s="51">
        <f t="shared" si="14"/>
        <v>-349</v>
      </c>
      <c r="BV10" s="41">
        <f t="shared" si="15"/>
        <v>3.512</v>
      </c>
      <c r="BW10" s="41">
        <v>24</v>
      </c>
      <c r="BX10" s="41">
        <v>22.13</v>
      </c>
      <c r="BZ10" s="41">
        <v>24</v>
      </c>
      <c r="CA10" s="41">
        <v>7.18</v>
      </c>
      <c r="CC10" s="41">
        <v>2.1</v>
      </c>
      <c r="CD10" s="41">
        <v>3.2</v>
      </c>
      <c r="CE10" s="41">
        <v>1.8</v>
      </c>
      <c r="CF10" s="41">
        <v>1.7</v>
      </c>
    </row>
    <row r="11" spans="1:84">
      <c r="A11" s="453"/>
      <c r="B11" s="24">
        <v>43226</v>
      </c>
      <c r="C11" s="25">
        <v>87</v>
      </c>
      <c r="D11" s="26">
        <v>0.46</v>
      </c>
      <c r="E11" s="38">
        <v>66</v>
      </c>
      <c r="F11" s="27">
        <v>95</v>
      </c>
      <c r="G11" s="27">
        <v>78</v>
      </c>
      <c r="H11" s="28">
        <v>24</v>
      </c>
      <c r="I11" s="28">
        <v>0</v>
      </c>
      <c r="J11" s="28">
        <v>8</v>
      </c>
      <c r="K11" s="28">
        <v>49</v>
      </c>
      <c r="L11" s="29">
        <v>0</v>
      </c>
      <c r="M11" s="29">
        <v>0</v>
      </c>
      <c r="N11" s="29">
        <v>0</v>
      </c>
      <c r="O11" s="29">
        <v>0</v>
      </c>
      <c r="P11" s="29">
        <v>0</v>
      </c>
      <c r="Q11" s="29">
        <v>0</v>
      </c>
      <c r="R11" s="261">
        <v>3531</v>
      </c>
      <c r="S11" s="253">
        <v>2332</v>
      </c>
      <c r="T11" s="253">
        <v>2332</v>
      </c>
      <c r="U11" s="253">
        <v>2284</v>
      </c>
      <c r="V11" s="253">
        <v>2379</v>
      </c>
      <c r="W11" s="28">
        <v>43</v>
      </c>
      <c r="X11" s="28">
        <v>0</v>
      </c>
      <c r="Y11" s="28">
        <v>45</v>
      </c>
      <c r="Z11" s="28">
        <v>819</v>
      </c>
      <c r="AA11" s="28">
        <v>56</v>
      </c>
      <c r="AB11" s="27">
        <v>0</v>
      </c>
      <c r="AC11" s="32">
        <f t="shared" si="0"/>
        <v>95</v>
      </c>
      <c r="AD11" s="33">
        <f t="shared" si="1"/>
        <v>-48</v>
      </c>
      <c r="AE11" s="27">
        <v>139</v>
      </c>
      <c r="AF11" s="34">
        <f t="shared" si="2"/>
        <v>0.71312949640287771</v>
      </c>
      <c r="AG11" s="35">
        <f t="shared" si="3"/>
        <v>147.125</v>
      </c>
      <c r="AH11" s="34">
        <f t="shared" si="4"/>
        <v>0.64684225431888986</v>
      </c>
      <c r="AI11" s="226">
        <f t="shared" si="5"/>
        <v>0.822265625</v>
      </c>
      <c r="AJ11" s="37">
        <f t="shared" si="6"/>
        <v>0.68056037808641978</v>
      </c>
      <c r="AK11" s="235">
        <v>3.722</v>
      </c>
      <c r="AL11" s="239">
        <v>153.97</v>
      </c>
      <c r="AM11" s="38">
        <f t="shared" si="7"/>
        <v>573.07633999999996</v>
      </c>
      <c r="AN11" s="235">
        <v>20.971</v>
      </c>
      <c r="AO11" s="330">
        <v>971.0552667970054</v>
      </c>
      <c r="AP11" s="39">
        <f t="shared" si="8"/>
        <v>20364</v>
      </c>
      <c r="AQ11" s="201">
        <f t="shared" si="9"/>
        <v>9166.8460332749564</v>
      </c>
      <c r="AR11" s="198">
        <f t="shared" si="10"/>
        <v>97.166666666666671</v>
      </c>
      <c r="AS11" s="13"/>
      <c r="AT11" s="27">
        <v>0</v>
      </c>
      <c r="AU11" s="40">
        <v>0</v>
      </c>
      <c r="AV11" s="40">
        <v>22</v>
      </c>
      <c r="AW11" s="27">
        <v>92</v>
      </c>
      <c r="AX11" s="40">
        <v>19</v>
      </c>
      <c r="AY11" s="27">
        <v>1440</v>
      </c>
      <c r="AZ11" s="27">
        <v>0</v>
      </c>
      <c r="BA11" s="332">
        <f t="shared" si="16"/>
        <v>-604</v>
      </c>
      <c r="BB11" s="41">
        <v>1043</v>
      </c>
      <c r="BC11" s="41">
        <v>439</v>
      </c>
      <c r="BD11" s="41">
        <v>897</v>
      </c>
      <c r="BE11" s="41">
        <f t="shared" si="11"/>
        <v>-604</v>
      </c>
      <c r="BF11" s="41">
        <f t="shared" si="12"/>
        <v>9166.8460332749564</v>
      </c>
      <c r="BG11" s="77">
        <f t="shared" si="13"/>
        <v>37.375</v>
      </c>
      <c r="BH11" s="43">
        <v>2.2320000000000002</v>
      </c>
      <c r="BI11" s="44">
        <v>0</v>
      </c>
      <c r="BJ11" s="45">
        <v>27</v>
      </c>
      <c r="BK11" s="46">
        <v>27.1</v>
      </c>
      <c r="BL11" s="47">
        <v>9.4600000000000009</v>
      </c>
      <c r="BM11" s="47">
        <v>11.43</v>
      </c>
      <c r="BN11" s="47">
        <v>986.6</v>
      </c>
      <c r="BO11" s="45">
        <v>50.1</v>
      </c>
      <c r="BP11" s="48">
        <v>0.93489999999999995</v>
      </c>
      <c r="BQ11" s="42">
        <v>95.95</v>
      </c>
      <c r="BR11" s="42">
        <v>86.8</v>
      </c>
      <c r="BS11" s="41">
        <v>12232</v>
      </c>
      <c r="BT11" s="41">
        <v>11785</v>
      </c>
      <c r="BU11" s="51">
        <f t="shared" si="14"/>
        <v>-447</v>
      </c>
      <c r="BV11" s="41">
        <f t="shared" si="15"/>
        <v>2.2320000000000002</v>
      </c>
      <c r="BW11" s="78">
        <v>21.2</v>
      </c>
      <c r="BX11" s="78">
        <v>0</v>
      </c>
      <c r="BZ11" s="78">
        <v>24</v>
      </c>
      <c r="CA11" s="78">
        <v>12.4</v>
      </c>
      <c r="CC11" s="78">
        <v>2.1</v>
      </c>
      <c r="CD11" s="78">
        <v>3.9</v>
      </c>
      <c r="CE11" s="78">
        <v>1.9</v>
      </c>
      <c r="CF11" s="78">
        <v>1.6</v>
      </c>
    </row>
    <row r="12" spans="1:84" ht="15" customHeight="1">
      <c r="A12" s="451" t="s">
        <v>192</v>
      </c>
      <c r="B12" s="24">
        <v>43227</v>
      </c>
      <c r="C12" s="157">
        <v>84</v>
      </c>
      <c r="D12" s="158">
        <v>0.48199999999999998</v>
      </c>
      <c r="E12" s="157">
        <v>65</v>
      </c>
      <c r="F12" s="159">
        <v>92</v>
      </c>
      <c r="G12" s="159">
        <v>77</v>
      </c>
      <c r="H12" s="160">
        <v>24</v>
      </c>
      <c r="I12" s="160">
        <v>0</v>
      </c>
      <c r="J12" s="160">
        <v>24</v>
      </c>
      <c r="K12" s="160">
        <v>0</v>
      </c>
      <c r="L12" s="161">
        <v>0</v>
      </c>
      <c r="M12" s="161">
        <v>0</v>
      </c>
      <c r="N12" s="161">
        <v>0</v>
      </c>
      <c r="O12" s="161">
        <v>0</v>
      </c>
      <c r="P12" s="161">
        <v>13</v>
      </c>
      <c r="Q12" s="159">
        <v>0</v>
      </c>
      <c r="R12" s="159">
        <v>3559</v>
      </c>
      <c r="S12" s="159">
        <v>3285</v>
      </c>
      <c r="T12" s="159">
        <v>3285</v>
      </c>
      <c r="U12" s="159">
        <v>3208</v>
      </c>
      <c r="V12" s="160">
        <v>3310</v>
      </c>
      <c r="W12" s="160">
        <v>43</v>
      </c>
      <c r="X12" s="160">
        <v>0</v>
      </c>
      <c r="Y12" s="160">
        <v>45</v>
      </c>
      <c r="Z12" s="161">
        <v>0</v>
      </c>
      <c r="AA12" s="161">
        <v>55</v>
      </c>
      <c r="AB12" s="161">
        <v>0</v>
      </c>
      <c r="AC12" s="165">
        <f t="shared" si="0"/>
        <v>102</v>
      </c>
      <c r="AD12" s="166">
        <f t="shared" si="1"/>
        <v>-77</v>
      </c>
      <c r="AE12" s="159">
        <v>144</v>
      </c>
      <c r="AF12" s="167">
        <f t="shared" si="2"/>
        <v>0.95775462962962965</v>
      </c>
      <c r="AG12" s="168">
        <f t="shared" si="3"/>
        <v>148.29166666666666</v>
      </c>
      <c r="AH12" s="167">
        <f t="shared" si="4"/>
        <v>0.90137679123349257</v>
      </c>
      <c r="AI12" s="169">
        <f>(1440-((W12*X12)+(Y12*Z12)+(AA12*AB12))/(W12+Y12+AA12))/1440</f>
        <v>1</v>
      </c>
      <c r="AJ12" s="170">
        <f t="shared" si="6"/>
        <v>0.95512820512820518</v>
      </c>
      <c r="AK12" s="235">
        <v>9.4990000000000006</v>
      </c>
      <c r="AL12" s="239">
        <v>143.22999999999999</v>
      </c>
      <c r="AM12" s="275">
        <f t="shared" si="7"/>
        <v>1360.54177</v>
      </c>
      <c r="AN12" s="235">
        <v>27.25</v>
      </c>
      <c r="AO12" s="330">
        <v>973.46</v>
      </c>
      <c r="AP12" s="172">
        <f t="shared" si="8"/>
        <v>26526.785</v>
      </c>
      <c r="AQ12" s="202">
        <f t="shared" si="9"/>
        <v>8693.0569731920186</v>
      </c>
      <c r="AR12" s="199">
        <f t="shared" si="10"/>
        <v>136.875</v>
      </c>
      <c r="AS12" s="13"/>
      <c r="AT12" s="173">
        <v>0</v>
      </c>
      <c r="AU12" s="159">
        <v>0</v>
      </c>
      <c r="AV12" s="174">
        <v>0</v>
      </c>
      <c r="AW12" s="174">
        <v>0</v>
      </c>
      <c r="AX12" s="159">
        <v>14</v>
      </c>
      <c r="AY12" s="174">
        <v>660</v>
      </c>
      <c r="AZ12" s="159">
        <v>0</v>
      </c>
      <c r="BA12" s="332">
        <f t="shared" si="16"/>
        <v>31</v>
      </c>
      <c r="BB12" s="159">
        <v>1049</v>
      </c>
      <c r="BC12" s="159">
        <v>1080</v>
      </c>
      <c r="BD12" s="159">
        <v>1181</v>
      </c>
      <c r="BE12" s="175">
        <f t="shared" si="11"/>
        <v>31</v>
      </c>
      <c r="BF12" s="176">
        <f t="shared" si="12"/>
        <v>8693.0569731920186</v>
      </c>
      <c r="BG12" s="177">
        <f t="shared" si="13"/>
        <v>49.208333333333336</v>
      </c>
      <c r="BH12" s="178">
        <v>0.96</v>
      </c>
      <c r="BI12" s="156">
        <v>0.90700000000000003</v>
      </c>
      <c r="BJ12" s="177">
        <v>27</v>
      </c>
      <c r="BK12" s="175">
        <v>27.1</v>
      </c>
      <c r="BL12" s="175">
        <v>22.2</v>
      </c>
      <c r="BM12" s="175">
        <v>26.86</v>
      </c>
      <c r="BN12" s="175">
        <v>986.3</v>
      </c>
      <c r="BO12" s="177">
        <v>50.09</v>
      </c>
      <c r="BP12" s="180">
        <v>0.93830000000000002</v>
      </c>
      <c r="BQ12" s="186">
        <v>95.99</v>
      </c>
      <c r="BR12" s="186">
        <v>86.49</v>
      </c>
      <c r="BS12" s="179">
        <v>12186</v>
      </c>
      <c r="BT12" s="179">
        <v>11788</v>
      </c>
      <c r="BU12" s="51">
        <f t="shared" si="14"/>
        <v>-398</v>
      </c>
      <c r="BV12" s="175">
        <f t="shared" si="15"/>
        <v>1.867</v>
      </c>
      <c r="BW12" s="177">
        <v>13</v>
      </c>
      <c r="BX12" s="177">
        <v>13</v>
      </c>
      <c r="BZ12" s="177">
        <v>24</v>
      </c>
      <c r="CA12" s="177">
        <v>6.8</v>
      </c>
      <c r="CC12" s="177">
        <v>2.1</v>
      </c>
      <c r="CD12" s="177">
        <v>3.8</v>
      </c>
      <c r="CE12" s="177">
        <v>1.8</v>
      </c>
      <c r="CF12" s="177">
        <v>1.3</v>
      </c>
    </row>
    <row r="13" spans="1:84">
      <c r="A13" s="452"/>
      <c r="B13" s="24">
        <v>43228</v>
      </c>
      <c r="C13" s="157">
        <v>86.8</v>
      </c>
      <c r="D13" s="197">
        <v>0.45400000000000001</v>
      </c>
      <c r="E13" s="157">
        <v>65.2</v>
      </c>
      <c r="F13" s="159">
        <v>98</v>
      </c>
      <c r="G13" s="159">
        <v>73</v>
      </c>
      <c r="H13" s="160">
        <v>24</v>
      </c>
      <c r="I13" s="160">
        <v>0</v>
      </c>
      <c r="J13" s="160">
        <v>24</v>
      </c>
      <c r="K13" s="160">
        <v>0</v>
      </c>
      <c r="L13" s="161">
        <v>0</v>
      </c>
      <c r="M13" s="161">
        <v>0</v>
      </c>
      <c r="N13" s="161">
        <v>0</v>
      </c>
      <c r="O13" s="161">
        <v>0</v>
      </c>
      <c r="P13" s="161">
        <v>24</v>
      </c>
      <c r="Q13" s="159">
        <v>0</v>
      </c>
      <c r="R13" s="159">
        <v>3529</v>
      </c>
      <c r="S13" s="159">
        <v>3420</v>
      </c>
      <c r="T13" s="159">
        <v>3420</v>
      </c>
      <c r="U13" s="159">
        <v>3341</v>
      </c>
      <c r="V13" s="160">
        <v>3448</v>
      </c>
      <c r="W13" s="160">
        <v>43</v>
      </c>
      <c r="X13" s="160">
        <v>0</v>
      </c>
      <c r="Y13" s="160">
        <v>44</v>
      </c>
      <c r="Z13" s="161">
        <v>0</v>
      </c>
      <c r="AA13" s="161">
        <v>56</v>
      </c>
      <c r="AB13" s="161">
        <v>0</v>
      </c>
      <c r="AC13" s="165">
        <f t="shared" si="0"/>
        <v>107</v>
      </c>
      <c r="AD13" s="166">
        <f t="shared" si="1"/>
        <v>-79</v>
      </c>
      <c r="AE13" s="159">
        <v>147</v>
      </c>
      <c r="AF13" s="167">
        <f t="shared" si="2"/>
        <v>0.9773242630385488</v>
      </c>
      <c r="AG13" s="168">
        <f t="shared" si="3"/>
        <v>147.04166666666666</v>
      </c>
      <c r="AH13" s="167">
        <f t="shared" si="4"/>
        <v>0.94672711816378574</v>
      </c>
      <c r="AI13" s="169">
        <f>(1440-((W13*X13)+(Y13*Z13)+(AA13*AB13))/(W13+Y13+AA13))/1440</f>
        <v>1</v>
      </c>
      <c r="AJ13" s="170">
        <f t="shared" si="6"/>
        <v>1</v>
      </c>
      <c r="AK13" s="236">
        <v>9.4740000000000002</v>
      </c>
      <c r="AL13" s="240">
        <v>142.62</v>
      </c>
      <c r="AM13" s="275">
        <f t="shared" si="7"/>
        <v>1351.1818800000001</v>
      </c>
      <c r="AN13" s="236">
        <v>28.736999999999998</v>
      </c>
      <c r="AO13" s="330">
        <v>974.7</v>
      </c>
      <c r="AP13" s="172">
        <f t="shared" si="8"/>
        <v>28009.9539</v>
      </c>
      <c r="AQ13" s="202">
        <f t="shared" si="9"/>
        <v>8788.1280395091289</v>
      </c>
      <c r="AR13" s="199">
        <f t="shared" si="10"/>
        <v>142.5</v>
      </c>
      <c r="AS13" s="13"/>
      <c r="AT13" s="173">
        <v>0</v>
      </c>
      <c r="AU13" s="159">
        <v>0</v>
      </c>
      <c r="AV13" s="174">
        <v>0</v>
      </c>
      <c r="AW13" s="174">
        <v>0</v>
      </c>
      <c r="AX13" s="159">
        <v>0</v>
      </c>
      <c r="AY13" s="174">
        <v>0</v>
      </c>
      <c r="AZ13" s="159">
        <v>0</v>
      </c>
      <c r="BA13" s="332">
        <f t="shared" ref="BA13:BA36" si="17">BC13-BB13</f>
        <v>26</v>
      </c>
      <c r="BB13" s="159">
        <v>1043</v>
      </c>
      <c r="BC13" s="159">
        <v>1069</v>
      </c>
      <c r="BD13" s="159">
        <v>1336</v>
      </c>
      <c r="BE13" s="175">
        <f t="shared" si="11"/>
        <v>26</v>
      </c>
      <c r="BF13" s="176">
        <f t="shared" si="12"/>
        <v>8788.1280395091289</v>
      </c>
      <c r="BG13" s="177">
        <f t="shared" si="13"/>
        <v>55.666666666666664</v>
      </c>
      <c r="BH13" s="178">
        <v>1.714</v>
      </c>
      <c r="BI13" s="156">
        <v>1.714</v>
      </c>
      <c r="BJ13" s="177">
        <v>27</v>
      </c>
      <c r="BK13" s="175">
        <v>27.04</v>
      </c>
      <c r="BL13" s="175">
        <v>22</v>
      </c>
      <c r="BM13" s="175">
        <v>26.89</v>
      </c>
      <c r="BN13" s="179">
        <v>985</v>
      </c>
      <c r="BO13" s="186">
        <v>50.04</v>
      </c>
      <c r="BP13" s="180">
        <v>0.93989999999999996</v>
      </c>
      <c r="BQ13" s="177">
        <v>95.92</v>
      </c>
      <c r="BR13" s="177">
        <v>86.18</v>
      </c>
      <c r="BS13" s="175">
        <v>12182</v>
      </c>
      <c r="BT13" s="175">
        <v>11839</v>
      </c>
      <c r="BU13" s="51">
        <f t="shared" si="14"/>
        <v>-343</v>
      </c>
      <c r="BV13" s="175">
        <f t="shared" si="15"/>
        <v>3.4279999999999999</v>
      </c>
      <c r="BW13" s="177">
        <v>24</v>
      </c>
      <c r="BX13" s="177">
        <v>24</v>
      </c>
      <c r="BZ13" s="177">
        <v>24</v>
      </c>
      <c r="CA13" s="177">
        <v>6.8</v>
      </c>
      <c r="CC13" s="177">
        <v>2.1</v>
      </c>
      <c r="CD13" s="177">
        <v>3.8</v>
      </c>
      <c r="CE13" s="177">
        <v>1.8</v>
      </c>
      <c r="CF13" s="177">
        <v>1.5</v>
      </c>
    </row>
    <row r="14" spans="1:84">
      <c r="A14" s="452"/>
      <c r="B14" s="24">
        <v>43229</v>
      </c>
      <c r="C14" s="157">
        <v>86.4</v>
      </c>
      <c r="D14" s="197">
        <v>0.45500000000000002</v>
      </c>
      <c r="E14" s="157">
        <v>65.7</v>
      </c>
      <c r="F14" s="159">
        <v>97</v>
      </c>
      <c r="G14" s="159">
        <v>74</v>
      </c>
      <c r="H14" s="160">
        <v>24</v>
      </c>
      <c r="I14" s="160">
        <v>0</v>
      </c>
      <c r="J14" s="160">
        <v>24</v>
      </c>
      <c r="K14" s="160">
        <v>0</v>
      </c>
      <c r="L14" s="161">
        <v>0</v>
      </c>
      <c r="M14" s="161">
        <v>0</v>
      </c>
      <c r="N14" s="161">
        <v>0</v>
      </c>
      <c r="O14" s="161">
        <v>0</v>
      </c>
      <c r="P14" s="161">
        <v>24</v>
      </c>
      <c r="Q14" s="159">
        <v>0</v>
      </c>
      <c r="R14" s="159">
        <v>3529</v>
      </c>
      <c r="S14" s="159">
        <v>3432</v>
      </c>
      <c r="T14" s="159">
        <v>3432</v>
      </c>
      <c r="U14" s="159">
        <v>3363</v>
      </c>
      <c r="V14" s="160">
        <v>3472</v>
      </c>
      <c r="W14" s="160">
        <v>43</v>
      </c>
      <c r="X14" s="160">
        <v>0</v>
      </c>
      <c r="Y14" s="160">
        <v>44</v>
      </c>
      <c r="Z14" s="161">
        <v>0</v>
      </c>
      <c r="AA14" s="161">
        <v>57</v>
      </c>
      <c r="AB14" s="161">
        <v>0</v>
      </c>
      <c r="AC14" s="165">
        <f t="shared" si="0"/>
        <v>109</v>
      </c>
      <c r="AD14" s="166">
        <f t="shared" si="1"/>
        <v>-69</v>
      </c>
      <c r="AE14" s="159">
        <v>148</v>
      </c>
      <c r="AF14" s="167">
        <f t="shared" si="2"/>
        <v>0.97747747747747749</v>
      </c>
      <c r="AG14" s="168">
        <f t="shared" si="3"/>
        <v>147.04166666666666</v>
      </c>
      <c r="AH14" s="167">
        <f t="shared" si="4"/>
        <v>0.95296117880419384</v>
      </c>
      <c r="AI14" s="169">
        <f>(1440-((W14*X14)+(Y14*Z14)+(AA14*AB14))/(W14+Y14+AA14))/1440</f>
        <v>1</v>
      </c>
      <c r="AJ14" s="170">
        <f t="shared" si="6"/>
        <v>1</v>
      </c>
      <c r="AK14" s="236">
        <v>9.3239999999999998</v>
      </c>
      <c r="AL14" s="240">
        <v>144.21</v>
      </c>
      <c r="AM14" s="275">
        <f t="shared" si="7"/>
        <v>1344.6140400000002</v>
      </c>
      <c r="AN14" s="236">
        <v>29.161000000000001</v>
      </c>
      <c r="AO14" s="330">
        <v>975.70183419069724</v>
      </c>
      <c r="AP14" s="172">
        <f t="shared" si="8"/>
        <v>28452.441186834923</v>
      </c>
      <c r="AQ14" s="202">
        <f t="shared" si="9"/>
        <v>8860.2602518093736</v>
      </c>
      <c r="AR14" s="199">
        <f t="shared" si="10"/>
        <v>143</v>
      </c>
      <c r="AS14" s="13"/>
      <c r="AT14" s="182">
        <v>0</v>
      </c>
      <c r="AU14" s="159">
        <v>0</v>
      </c>
      <c r="AV14" s="174">
        <v>0</v>
      </c>
      <c r="AW14" s="174">
        <v>0</v>
      </c>
      <c r="AX14" s="159">
        <v>0</v>
      </c>
      <c r="AY14" s="174">
        <v>0</v>
      </c>
      <c r="AZ14" s="159">
        <v>0</v>
      </c>
      <c r="BA14" s="332">
        <f t="shared" si="17"/>
        <v>20</v>
      </c>
      <c r="BB14" s="159">
        <v>1043</v>
      </c>
      <c r="BC14" s="159">
        <v>1063</v>
      </c>
      <c r="BD14" s="159">
        <v>1366</v>
      </c>
      <c r="BE14" s="175">
        <f t="shared" si="11"/>
        <v>20</v>
      </c>
      <c r="BF14" s="176">
        <f t="shared" si="12"/>
        <v>8860.2602518093736</v>
      </c>
      <c r="BG14" s="177">
        <f t="shared" si="13"/>
        <v>56.916666666666664</v>
      </c>
      <c r="BH14" s="178">
        <v>1.92</v>
      </c>
      <c r="BI14" s="156">
        <v>1.92</v>
      </c>
      <c r="BJ14" s="177">
        <v>27</v>
      </c>
      <c r="BK14" s="175">
        <v>27.03</v>
      </c>
      <c r="BL14" s="175">
        <v>22</v>
      </c>
      <c r="BM14" s="175">
        <v>26.96</v>
      </c>
      <c r="BN14" s="179">
        <v>987.2</v>
      </c>
      <c r="BO14" s="179">
        <v>50.06</v>
      </c>
      <c r="BP14" s="180">
        <v>0.9395</v>
      </c>
      <c r="BQ14" s="177">
        <v>95.96</v>
      </c>
      <c r="BR14" s="177">
        <v>86.12</v>
      </c>
      <c r="BS14" s="175">
        <v>12184</v>
      </c>
      <c r="BT14" s="175">
        <v>11900</v>
      </c>
      <c r="BU14" s="51">
        <f t="shared" si="14"/>
        <v>-284</v>
      </c>
      <c r="BV14" s="175">
        <f t="shared" si="15"/>
        <v>3.84</v>
      </c>
      <c r="BW14" s="177">
        <v>24</v>
      </c>
      <c r="BX14" s="177">
        <v>24</v>
      </c>
      <c r="BZ14" s="177">
        <v>24</v>
      </c>
      <c r="CA14" s="177">
        <v>6.72</v>
      </c>
      <c r="CC14" s="177">
        <v>2.1</v>
      </c>
      <c r="CD14" s="177">
        <v>3.7</v>
      </c>
      <c r="CE14" s="177">
        <v>1.8</v>
      </c>
      <c r="CF14" s="177">
        <v>1.6</v>
      </c>
    </row>
    <row r="15" spans="1:84">
      <c r="A15" s="452"/>
      <c r="B15" s="24">
        <v>43230</v>
      </c>
      <c r="C15" s="157">
        <v>92.5</v>
      </c>
      <c r="D15" s="197">
        <v>0.40699999999999997</v>
      </c>
      <c r="E15" s="157">
        <v>67.2</v>
      </c>
      <c r="F15" s="183">
        <v>107</v>
      </c>
      <c r="G15" s="183">
        <v>79</v>
      </c>
      <c r="H15" s="160">
        <v>24</v>
      </c>
      <c r="I15" s="160">
        <v>0</v>
      </c>
      <c r="J15" s="160">
        <v>24</v>
      </c>
      <c r="K15" s="160">
        <v>0</v>
      </c>
      <c r="L15" s="161">
        <v>0</v>
      </c>
      <c r="M15" s="161">
        <v>0</v>
      </c>
      <c r="N15" s="161">
        <v>0</v>
      </c>
      <c r="O15" s="161">
        <v>0</v>
      </c>
      <c r="P15" s="161">
        <v>24</v>
      </c>
      <c r="Q15" s="159">
        <v>0</v>
      </c>
      <c r="R15" s="159">
        <v>3474</v>
      </c>
      <c r="S15" s="159">
        <v>3409</v>
      </c>
      <c r="T15" s="159">
        <v>3409</v>
      </c>
      <c r="U15" s="159">
        <v>3335</v>
      </c>
      <c r="V15" s="160">
        <v>3447</v>
      </c>
      <c r="W15" s="160">
        <v>43</v>
      </c>
      <c r="X15" s="160">
        <v>0</v>
      </c>
      <c r="Y15" s="160">
        <v>44</v>
      </c>
      <c r="Z15" s="161">
        <v>0</v>
      </c>
      <c r="AA15" s="161">
        <v>57</v>
      </c>
      <c r="AB15" s="161">
        <v>0</v>
      </c>
      <c r="AC15" s="165">
        <f t="shared" si="0"/>
        <v>112</v>
      </c>
      <c r="AD15" s="166">
        <f t="shared" si="1"/>
        <v>-74</v>
      </c>
      <c r="AE15" s="159">
        <v>152</v>
      </c>
      <c r="AF15" s="167">
        <f t="shared" si="2"/>
        <v>0.94490131578947367</v>
      </c>
      <c r="AG15" s="168">
        <f t="shared" si="3"/>
        <v>144.75</v>
      </c>
      <c r="AH15" s="167">
        <f t="shared" si="4"/>
        <v>0.95998848589522168</v>
      </c>
      <c r="AI15" s="169">
        <f>(1440-((W15*X15)+(Y15*Z15)+(AA15*AB15))/(W15+Y15+AA15))/1440</f>
        <v>1</v>
      </c>
      <c r="AJ15" s="170">
        <f t="shared" si="6"/>
        <v>1</v>
      </c>
      <c r="AK15" s="236">
        <v>9.3160000000000007</v>
      </c>
      <c r="AL15" s="240">
        <v>144.69999999999999</v>
      </c>
      <c r="AM15" s="275">
        <f t="shared" si="7"/>
        <v>1348.0252</v>
      </c>
      <c r="AN15" s="236">
        <v>28.975000000000001</v>
      </c>
      <c r="AO15" s="330">
        <v>974.87875955808158</v>
      </c>
      <c r="AP15" s="172">
        <f t="shared" si="8"/>
        <v>28247.112058195416</v>
      </c>
      <c r="AQ15" s="202">
        <f t="shared" si="9"/>
        <v>8874.1041253959265</v>
      </c>
      <c r="AR15" s="199">
        <f t="shared" si="10"/>
        <v>142.04166666666666</v>
      </c>
      <c r="AS15" s="13"/>
      <c r="AT15" s="159">
        <v>0</v>
      </c>
      <c r="AU15" s="174">
        <v>0</v>
      </c>
      <c r="AV15" s="174">
        <v>0</v>
      </c>
      <c r="AW15" s="159">
        <v>0</v>
      </c>
      <c r="AX15" s="174">
        <v>0</v>
      </c>
      <c r="AY15" s="159">
        <v>0</v>
      </c>
      <c r="AZ15" s="159">
        <v>0</v>
      </c>
      <c r="BA15" s="332">
        <f t="shared" si="17"/>
        <v>14</v>
      </c>
      <c r="BB15" s="175">
        <v>1034</v>
      </c>
      <c r="BC15" s="175">
        <v>1048</v>
      </c>
      <c r="BD15" s="184">
        <v>1365</v>
      </c>
      <c r="BE15" s="175">
        <f t="shared" si="11"/>
        <v>14</v>
      </c>
      <c r="BF15" s="177">
        <f t="shared" si="12"/>
        <v>8874.1041253959265</v>
      </c>
      <c r="BG15" s="177">
        <f t="shared" si="13"/>
        <v>56.875</v>
      </c>
      <c r="BH15" s="178">
        <v>1.9410000000000001</v>
      </c>
      <c r="BI15" s="156">
        <v>1.9410000000000001</v>
      </c>
      <c r="BJ15" s="177">
        <v>27</v>
      </c>
      <c r="BK15" s="175">
        <v>26.92</v>
      </c>
      <c r="BL15" s="175">
        <v>21.84</v>
      </c>
      <c r="BM15" s="175">
        <v>26.87</v>
      </c>
      <c r="BN15" s="179">
        <v>990.79</v>
      </c>
      <c r="BO15" s="179">
        <v>50.07</v>
      </c>
      <c r="BP15" s="185">
        <v>0.93989999999999996</v>
      </c>
      <c r="BQ15" s="177">
        <v>95.73</v>
      </c>
      <c r="BR15" s="177">
        <v>85.83</v>
      </c>
      <c r="BS15" s="175">
        <v>12236</v>
      </c>
      <c r="BT15" s="175">
        <v>11992</v>
      </c>
      <c r="BU15" s="51">
        <f t="shared" si="14"/>
        <v>-244</v>
      </c>
      <c r="BV15" s="175">
        <f t="shared" si="15"/>
        <v>3.8820000000000001</v>
      </c>
      <c r="BW15" s="177">
        <v>24</v>
      </c>
      <c r="BX15" s="177">
        <v>24</v>
      </c>
      <c r="BZ15" s="177">
        <v>24</v>
      </c>
      <c r="CA15" s="177">
        <v>6.93</v>
      </c>
      <c r="CC15" s="177">
        <v>2.2000000000000002</v>
      </c>
      <c r="CD15" s="177">
        <v>3.8</v>
      </c>
      <c r="CE15" s="177">
        <v>1.8</v>
      </c>
      <c r="CF15" s="177">
        <v>1.3</v>
      </c>
    </row>
    <row r="16" spans="1:84">
      <c r="A16" s="452"/>
      <c r="B16" s="24">
        <v>43231</v>
      </c>
      <c r="C16" s="157">
        <v>96.27</v>
      </c>
      <c r="D16" s="197">
        <v>0.37359999999999999</v>
      </c>
      <c r="E16" s="157">
        <v>68.14</v>
      </c>
      <c r="F16" s="159">
        <v>110</v>
      </c>
      <c r="G16" s="159">
        <v>83</v>
      </c>
      <c r="H16" s="159">
        <v>24</v>
      </c>
      <c r="I16" s="159">
        <v>0</v>
      </c>
      <c r="J16" s="159">
        <v>24</v>
      </c>
      <c r="K16" s="159">
        <v>0</v>
      </c>
      <c r="L16" s="161">
        <v>0</v>
      </c>
      <c r="M16" s="161">
        <v>0</v>
      </c>
      <c r="N16" s="161">
        <v>0</v>
      </c>
      <c r="O16" s="161">
        <v>0</v>
      </c>
      <c r="P16" s="161">
        <v>24</v>
      </c>
      <c r="Q16" s="159">
        <v>0</v>
      </c>
      <c r="R16" s="159">
        <v>3427</v>
      </c>
      <c r="S16" s="159">
        <v>3435</v>
      </c>
      <c r="T16" s="159">
        <v>3435</v>
      </c>
      <c r="U16" s="159">
        <v>3378</v>
      </c>
      <c r="V16" s="159">
        <v>3488</v>
      </c>
      <c r="W16" s="159">
        <v>43</v>
      </c>
      <c r="X16" s="159">
        <v>0</v>
      </c>
      <c r="Y16" s="159">
        <v>44</v>
      </c>
      <c r="Z16" s="161">
        <v>0</v>
      </c>
      <c r="AA16" s="161">
        <v>59</v>
      </c>
      <c r="AB16" s="161">
        <v>0</v>
      </c>
      <c r="AC16" s="165">
        <f t="shared" si="0"/>
        <v>110</v>
      </c>
      <c r="AD16" s="166">
        <f t="shared" si="1"/>
        <v>-57</v>
      </c>
      <c r="AE16" s="159">
        <v>153</v>
      </c>
      <c r="AF16" s="167">
        <f t="shared" si="2"/>
        <v>0.94989106753812635</v>
      </c>
      <c r="AG16" s="168">
        <f t="shared" si="3"/>
        <v>142.79166666666666</v>
      </c>
      <c r="AH16" s="167">
        <f t="shared" si="4"/>
        <v>0.98570177998249198</v>
      </c>
      <c r="AI16" s="169">
        <f>IF(U16&gt;0,(1440-((W16*X16)+(Y16*Z16)+(AA16*AB16))/(W16+Y16+AA16))/1440,"no data")</f>
        <v>1</v>
      </c>
      <c r="AJ16" s="170">
        <f t="shared" si="6"/>
        <v>1</v>
      </c>
      <c r="AK16" s="236">
        <v>9.3119999999999994</v>
      </c>
      <c r="AL16" s="240">
        <v>145.41</v>
      </c>
      <c r="AM16" s="171">
        <f t="shared" si="7"/>
        <v>1354.05792</v>
      </c>
      <c r="AN16" s="236">
        <v>29.46</v>
      </c>
      <c r="AO16" s="330">
        <v>974.20642430053215</v>
      </c>
      <c r="AP16" s="172">
        <f t="shared" si="8"/>
        <v>28700.121259893676</v>
      </c>
      <c r="AQ16" s="202">
        <f t="shared" si="9"/>
        <v>8897.033505001089</v>
      </c>
      <c r="AR16" s="199">
        <f t="shared" si="10"/>
        <v>143.125</v>
      </c>
      <c r="AS16" s="13"/>
      <c r="AT16" s="159">
        <v>0</v>
      </c>
      <c r="AU16" s="159">
        <v>0</v>
      </c>
      <c r="AV16" s="159">
        <v>0</v>
      </c>
      <c r="AW16" s="159">
        <v>0</v>
      </c>
      <c r="AX16" s="159">
        <v>0</v>
      </c>
      <c r="AY16" s="159">
        <v>0</v>
      </c>
      <c r="AZ16" s="159">
        <v>0</v>
      </c>
      <c r="BA16" s="332">
        <f t="shared" si="17"/>
        <v>11</v>
      </c>
      <c r="BB16" s="175">
        <v>1033</v>
      </c>
      <c r="BC16" s="175">
        <v>1044</v>
      </c>
      <c r="BD16" s="175">
        <v>1411</v>
      </c>
      <c r="BE16" s="175">
        <f t="shared" si="11"/>
        <v>11</v>
      </c>
      <c r="BF16" s="177">
        <f t="shared" si="12"/>
        <v>8897.033505001089</v>
      </c>
      <c r="BG16" s="177">
        <f t="shared" si="13"/>
        <v>58.791666666666664</v>
      </c>
      <c r="BH16" s="178">
        <v>2.198</v>
      </c>
      <c r="BI16" s="156">
        <v>2.1960000000000002</v>
      </c>
      <c r="BJ16" s="177">
        <v>27.3</v>
      </c>
      <c r="BK16" s="175">
        <v>26.93</v>
      </c>
      <c r="BL16" s="175">
        <v>21.77</v>
      </c>
      <c r="BM16" s="175">
        <v>27.19</v>
      </c>
      <c r="BN16" s="179">
        <v>989</v>
      </c>
      <c r="BO16" s="179">
        <v>50.09</v>
      </c>
      <c r="BP16" s="185">
        <v>0.94140000000000001</v>
      </c>
      <c r="BQ16" s="177">
        <v>95.67</v>
      </c>
      <c r="BR16" s="177">
        <v>85.43</v>
      </c>
      <c r="BS16" s="175">
        <v>12253</v>
      </c>
      <c r="BT16" s="175">
        <v>12048</v>
      </c>
      <c r="BU16" s="51">
        <f t="shared" si="14"/>
        <v>-205</v>
      </c>
      <c r="BV16" s="175">
        <f t="shared" si="15"/>
        <v>4.3940000000000001</v>
      </c>
      <c r="BW16" s="177">
        <v>24</v>
      </c>
      <c r="BX16" s="177">
        <v>24</v>
      </c>
      <c r="BZ16" s="177">
        <v>24</v>
      </c>
      <c r="CA16" s="177">
        <v>5.75</v>
      </c>
      <c r="CC16" s="177">
        <v>2.1</v>
      </c>
      <c r="CD16" s="177">
        <v>4.2</v>
      </c>
      <c r="CE16" s="177">
        <v>1.8</v>
      </c>
      <c r="CF16" s="177">
        <v>1.2</v>
      </c>
    </row>
    <row r="17" spans="1:84">
      <c r="A17" s="452"/>
      <c r="B17" s="24">
        <v>43232</v>
      </c>
      <c r="C17" s="157">
        <v>96.3</v>
      </c>
      <c r="D17" s="197">
        <v>0.372</v>
      </c>
      <c r="E17" s="157">
        <v>68.2</v>
      </c>
      <c r="F17" s="159">
        <v>108</v>
      </c>
      <c r="G17" s="159">
        <v>83</v>
      </c>
      <c r="H17" s="159">
        <v>24</v>
      </c>
      <c r="I17" s="159">
        <v>0</v>
      </c>
      <c r="J17" s="159">
        <v>24</v>
      </c>
      <c r="K17" s="159">
        <v>0</v>
      </c>
      <c r="L17" s="161">
        <v>0</v>
      </c>
      <c r="M17" s="161">
        <v>0</v>
      </c>
      <c r="N17" s="161">
        <v>0</v>
      </c>
      <c r="O17" s="161">
        <v>0</v>
      </c>
      <c r="P17" s="161">
        <v>17</v>
      </c>
      <c r="Q17" s="159">
        <v>92</v>
      </c>
      <c r="R17" s="159">
        <v>3435</v>
      </c>
      <c r="S17" s="159">
        <v>3381</v>
      </c>
      <c r="T17" s="159">
        <v>3281</v>
      </c>
      <c r="U17" s="159">
        <v>3232</v>
      </c>
      <c r="V17" s="159">
        <v>3338</v>
      </c>
      <c r="W17" s="159">
        <v>42</v>
      </c>
      <c r="X17" s="159">
        <v>0</v>
      </c>
      <c r="Y17" s="159">
        <v>43</v>
      </c>
      <c r="Z17" s="161">
        <v>0</v>
      </c>
      <c r="AA17" s="161">
        <v>57</v>
      </c>
      <c r="AB17" s="161">
        <v>0</v>
      </c>
      <c r="AC17" s="165">
        <f t="shared" si="0"/>
        <v>106</v>
      </c>
      <c r="AD17" s="166">
        <f t="shared" si="1"/>
        <v>-49</v>
      </c>
      <c r="AE17" s="159">
        <v>145</v>
      </c>
      <c r="AF17" s="167">
        <f t="shared" si="2"/>
        <v>0.95919540229885059</v>
      </c>
      <c r="AG17" s="168">
        <f t="shared" si="3"/>
        <v>143.125</v>
      </c>
      <c r="AH17" s="167">
        <f t="shared" si="4"/>
        <v>0.94090247452692866</v>
      </c>
      <c r="AI17" s="169">
        <f t="shared" ref="AI17:AI39" si="18">IF(U17&gt;0,(1440-((W17*X17)+(Y17*Z17)+(AA17*AB17))/(W17+Y17+AA17))/1440,"no data")</f>
        <v>1</v>
      </c>
      <c r="AJ17" s="170">
        <f t="shared" si="6"/>
        <v>0.97679479655712054</v>
      </c>
      <c r="AK17" s="236">
        <v>9.3800000000000008</v>
      </c>
      <c r="AL17" s="240">
        <v>145.96</v>
      </c>
      <c r="AM17" s="171">
        <f t="shared" si="7"/>
        <v>1369.1048000000003</v>
      </c>
      <c r="AN17" s="236">
        <v>28.053999999999998</v>
      </c>
      <c r="AO17" s="330">
        <v>969.55552313477767</v>
      </c>
      <c r="AP17" s="172">
        <f t="shared" si="8"/>
        <v>27199.910646023051</v>
      </c>
      <c r="AQ17" s="202">
        <f t="shared" si="9"/>
        <v>8839.4230959229735</v>
      </c>
      <c r="AR17" s="199">
        <f t="shared" si="10"/>
        <v>140.875</v>
      </c>
      <c r="AS17" s="13"/>
      <c r="AT17" s="159">
        <v>0</v>
      </c>
      <c r="AU17" s="159">
        <v>0</v>
      </c>
      <c r="AV17" s="159">
        <v>0</v>
      </c>
      <c r="AW17" s="159">
        <v>0</v>
      </c>
      <c r="AX17" s="159">
        <v>13</v>
      </c>
      <c r="AY17" s="159">
        <v>365</v>
      </c>
      <c r="AZ17" s="159">
        <v>0</v>
      </c>
      <c r="BA17" s="332">
        <f t="shared" si="17"/>
        <v>11</v>
      </c>
      <c r="BB17" s="175">
        <v>1028</v>
      </c>
      <c r="BC17" s="175">
        <v>1039</v>
      </c>
      <c r="BD17" s="175">
        <v>1271</v>
      </c>
      <c r="BE17" s="175">
        <f t="shared" si="11"/>
        <v>11</v>
      </c>
      <c r="BF17" s="177">
        <f t="shared" si="12"/>
        <v>8839.4230959229735</v>
      </c>
      <c r="BG17" s="177">
        <f t="shared" si="13"/>
        <v>52.958333333333336</v>
      </c>
      <c r="BH17" s="178">
        <v>1.4059999999999999</v>
      </c>
      <c r="BI17" s="156">
        <v>1.377</v>
      </c>
      <c r="BJ17" s="177">
        <v>27.5</v>
      </c>
      <c r="BK17" s="175">
        <v>27.06</v>
      </c>
      <c r="BL17" s="175">
        <v>21.91</v>
      </c>
      <c r="BM17" s="175">
        <v>27.16</v>
      </c>
      <c r="BN17" s="179">
        <v>988.4</v>
      </c>
      <c r="BO17" s="179">
        <v>50.1</v>
      </c>
      <c r="BP17" s="185">
        <v>0.94120000000000004</v>
      </c>
      <c r="BQ17" s="177">
        <v>95.81</v>
      </c>
      <c r="BR17" s="186">
        <v>85.48</v>
      </c>
      <c r="BS17" s="175">
        <v>12387</v>
      </c>
      <c r="BT17" s="175">
        <v>12147</v>
      </c>
      <c r="BU17" s="51">
        <f t="shared" si="14"/>
        <v>-240</v>
      </c>
      <c r="BV17" s="175">
        <f t="shared" si="15"/>
        <v>2.7829999999999999</v>
      </c>
      <c r="BW17" s="177">
        <v>24</v>
      </c>
      <c r="BX17" s="177">
        <v>24</v>
      </c>
      <c r="BZ17" s="177">
        <v>24</v>
      </c>
      <c r="CA17" s="177">
        <v>9.6</v>
      </c>
      <c r="CC17" s="177">
        <v>2.2000000000000002</v>
      </c>
      <c r="CD17" s="177">
        <v>4.0999999999999996</v>
      </c>
      <c r="CE17" s="177">
        <v>1.8</v>
      </c>
      <c r="CF17" s="177">
        <v>1.3</v>
      </c>
    </row>
    <row r="18" spans="1:84">
      <c r="A18" s="453"/>
      <c r="B18" s="24">
        <v>43233</v>
      </c>
      <c r="C18" s="157">
        <v>88.6</v>
      </c>
      <c r="D18" s="197">
        <v>0.443</v>
      </c>
      <c r="E18" s="157">
        <v>67.099999999999994</v>
      </c>
      <c r="F18" s="159">
        <v>96</v>
      </c>
      <c r="G18" s="159">
        <v>80</v>
      </c>
      <c r="H18" s="159">
        <v>24</v>
      </c>
      <c r="I18" s="159">
        <v>0</v>
      </c>
      <c r="J18" s="159">
        <v>24</v>
      </c>
      <c r="K18" s="159">
        <v>0</v>
      </c>
      <c r="L18" s="159">
        <v>0</v>
      </c>
      <c r="M18" s="159">
        <v>0</v>
      </c>
      <c r="N18" s="187">
        <v>0</v>
      </c>
      <c r="O18" s="187">
        <v>0</v>
      </c>
      <c r="P18" s="187">
        <v>0</v>
      </c>
      <c r="Q18" s="159">
        <v>0</v>
      </c>
      <c r="R18" s="159">
        <v>3515</v>
      </c>
      <c r="S18" s="159">
        <v>3197</v>
      </c>
      <c r="T18" s="159">
        <v>3050</v>
      </c>
      <c r="U18" s="159">
        <v>3011</v>
      </c>
      <c r="V18" s="159">
        <v>3107</v>
      </c>
      <c r="W18" s="159">
        <v>43</v>
      </c>
      <c r="X18" s="159">
        <v>0</v>
      </c>
      <c r="Y18" s="159">
        <v>43</v>
      </c>
      <c r="Z18" s="159">
        <v>0</v>
      </c>
      <c r="AA18" s="159">
        <v>57</v>
      </c>
      <c r="AB18" s="187">
        <v>0</v>
      </c>
      <c r="AC18" s="165">
        <f t="shared" si="0"/>
        <v>96</v>
      </c>
      <c r="AD18" s="166">
        <f t="shared" si="1"/>
        <v>-39</v>
      </c>
      <c r="AE18" s="159">
        <v>131</v>
      </c>
      <c r="AF18" s="167">
        <f t="shared" si="2"/>
        <v>0.98823155216284986</v>
      </c>
      <c r="AG18" s="168">
        <f t="shared" si="3"/>
        <v>146.45833333333334</v>
      </c>
      <c r="AH18" s="167">
        <f t="shared" si="4"/>
        <v>0.85661450924608817</v>
      </c>
      <c r="AI18" s="169">
        <f t="shared" si="18"/>
        <v>1</v>
      </c>
      <c r="AJ18" s="170">
        <f t="shared" si="6"/>
        <v>0.8951048951048951</v>
      </c>
      <c r="AK18" s="236">
        <v>9.3309999999999995</v>
      </c>
      <c r="AL18" s="240">
        <v>146.12</v>
      </c>
      <c r="AM18" s="171">
        <f t="shared" si="7"/>
        <v>1363.4457199999999</v>
      </c>
      <c r="AN18" s="236">
        <v>25.413</v>
      </c>
      <c r="AO18" s="330">
        <v>965.57720358116933</v>
      </c>
      <c r="AP18" s="172">
        <f t="shared" si="8"/>
        <v>24538.213474608256</v>
      </c>
      <c r="AQ18" s="202">
        <f t="shared" si="9"/>
        <v>8602.3444684849746</v>
      </c>
      <c r="AR18" s="199">
        <f t="shared" si="10"/>
        <v>133.20833333333334</v>
      </c>
      <c r="AS18" s="13"/>
      <c r="AT18" s="159">
        <v>0</v>
      </c>
      <c r="AU18" s="159">
        <v>0</v>
      </c>
      <c r="AV18" s="159">
        <v>0</v>
      </c>
      <c r="AW18" s="159">
        <v>0</v>
      </c>
      <c r="AX18" s="174">
        <v>15</v>
      </c>
      <c r="AY18" s="159">
        <v>1440</v>
      </c>
      <c r="AZ18" s="159">
        <v>0</v>
      </c>
      <c r="BA18" s="332">
        <f t="shared" si="17"/>
        <v>16</v>
      </c>
      <c r="BB18" s="175">
        <v>1037</v>
      </c>
      <c r="BC18" s="175">
        <v>1053</v>
      </c>
      <c r="BD18" s="175">
        <v>1017</v>
      </c>
      <c r="BE18" s="175">
        <f t="shared" si="11"/>
        <v>16</v>
      </c>
      <c r="BF18" s="177">
        <f t="shared" si="12"/>
        <v>8602.3444684849746</v>
      </c>
      <c r="BG18" s="177">
        <f t="shared" si="13"/>
        <v>42.375</v>
      </c>
      <c r="BH18" s="178">
        <v>0</v>
      </c>
      <c r="BI18" s="156">
        <v>0</v>
      </c>
      <c r="BJ18" s="177">
        <v>27.5</v>
      </c>
      <c r="BK18" s="175">
        <v>27.34</v>
      </c>
      <c r="BL18" s="175">
        <v>22.12</v>
      </c>
      <c r="BM18" s="175">
        <v>27.12</v>
      </c>
      <c r="BN18" s="179">
        <v>984.6</v>
      </c>
      <c r="BO18" s="179">
        <v>50.09</v>
      </c>
      <c r="BP18" s="180">
        <v>0.94</v>
      </c>
      <c r="BQ18" s="186">
        <v>96.1</v>
      </c>
      <c r="BR18" s="186">
        <v>85.75</v>
      </c>
      <c r="BS18" s="175">
        <v>12379</v>
      </c>
      <c r="BT18" s="175">
        <v>12095</v>
      </c>
      <c r="BU18" s="51">
        <f t="shared" si="14"/>
        <v>-284</v>
      </c>
      <c r="BV18" s="175">
        <f t="shared" si="15"/>
        <v>0</v>
      </c>
      <c r="BW18" s="177">
        <v>0</v>
      </c>
      <c r="BX18" s="177">
        <v>0</v>
      </c>
      <c r="BZ18" s="177">
        <v>24</v>
      </c>
      <c r="CA18" s="177">
        <v>5.33</v>
      </c>
      <c r="CC18" s="177">
        <v>2.1</v>
      </c>
      <c r="CD18" s="177">
        <v>4.0999999999999996</v>
      </c>
      <c r="CE18" s="177">
        <v>1.8</v>
      </c>
      <c r="CF18" s="177">
        <v>1.2</v>
      </c>
    </row>
    <row r="19" spans="1:84" ht="15" customHeight="1">
      <c r="A19" s="451" t="s">
        <v>193</v>
      </c>
      <c r="B19" s="24">
        <v>43234</v>
      </c>
      <c r="C19" s="25">
        <v>92.8</v>
      </c>
      <c r="D19" s="26">
        <v>0.42199999999999999</v>
      </c>
      <c r="E19" s="25">
        <v>68.099999999999994</v>
      </c>
      <c r="F19" s="27">
        <v>104</v>
      </c>
      <c r="G19" s="27">
        <v>81</v>
      </c>
      <c r="H19" s="27">
        <v>24</v>
      </c>
      <c r="I19" s="27">
        <v>0</v>
      </c>
      <c r="J19" s="27">
        <v>24</v>
      </c>
      <c r="K19" s="27">
        <v>0</v>
      </c>
      <c r="L19" s="27">
        <v>0</v>
      </c>
      <c r="M19" s="27">
        <v>0</v>
      </c>
      <c r="N19" s="29">
        <v>0</v>
      </c>
      <c r="O19" s="29">
        <v>0</v>
      </c>
      <c r="P19" s="29">
        <v>12</v>
      </c>
      <c r="Q19" s="27">
        <v>0</v>
      </c>
      <c r="R19" s="251">
        <v>3473</v>
      </c>
      <c r="S19" s="253">
        <v>3207</v>
      </c>
      <c r="T19" s="27">
        <v>3207</v>
      </c>
      <c r="U19" s="27">
        <v>3135</v>
      </c>
      <c r="V19" s="27">
        <v>3239</v>
      </c>
      <c r="W19" s="27">
        <v>43</v>
      </c>
      <c r="X19" s="27">
        <v>0</v>
      </c>
      <c r="Y19" s="27">
        <v>43</v>
      </c>
      <c r="Z19" s="27">
        <v>0</v>
      </c>
      <c r="AA19" s="27">
        <v>54</v>
      </c>
      <c r="AB19" s="29">
        <v>0</v>
      </c>
      <c r="AC19" s="32">
        <f t="shared" si="0"/>
        <v>104</v>
      </c>
      <c r="AD19" s="33">
        <f t="shared" si="1"/>
        <v>-72</v>
      </c>
      <c r="AE19" s="27">
        <v>142</v>
      </c>
      <c r="AF19" s="34">
        <f t="shared" si="2"/>
        <v>0.95041079812206575</v>
      </c>
      <c r="AG19" s="35">
        <f t="shared" si="3"/>
        <v>144.70833333333334</v>
      </c>
      <c r="AH19" s="34">
        <f t="shared" si="4"/>
        <v>0.90267780017276134</v>
      </c>
      <c r="AI19" s="226">
        <f t="shared" si="18"/>
        <v>1</v>
      </c>
      <c r="AJ19" s="37">
        <f t="shared" si="6"/>
        <v>0.95714285714285707</v>
      </c>
      <c r="AK19" s="236">
        <v>9.3239999999999998</v>
      </c>
      <c r="AL19" s="240">
        <v>143.65</v>
      </c>
      <c r="AM19" s="38">
        <f t="shared" si="7"/>
        <v>1339.3926000000001</v>
      </c>
      <c r="AN19" s="236">
        <v>26.72</v>
      </c>
      <c r="AO19" s="330">
        <v>969.79022350362004</v>
      </c>
      <c r="AP19" s="39">
        <f t="shared" si="8"/>
        <v>25912.794772016725</v>
      </c>
      <c r="AQ19" s="201">
        <f t="shared" si="9"/>
        <v>8692.8827342956065</v>
      </c>
      <c r="AR19" s="198">
        <f t="shared" si="10"/>
        <v>133.625</v>
      </c>
      <c r="AS19" s="13"/>
      <c r="AT19" s="27">
        <v>0</v>
      </c>
      <c r="AU19" s="40">
        <v>0</v>
      </c>
      <c r="AV19" s="40">
        <v>0</v>
      </c>
      <c r="AW19" s="27">
        <v>0</v>
      </c>
      <c r="AX19" s="40">
        <v>12</v>
      </c>
      <c r="AY19" s="27">
        <v>720</v>
      </c>
      <c r="AZ19" s="27">
        <v>0</v>
      </c>
      <c r="BA19" s="332">
        <f t="shared" si="17"/>
        <v>16</v>
      </c>
      <c r="BB19" s="52">
        <v>1029</v>
      </c>
      <c r="BC19" s="52">
        <v>1045</v>
      </c>
      <c r="BD19" s="52">
        <v>1165</v>
      </c>
      <c r="BE19" s="41">
        <f t="shared" si="11"/>
        <v>16</v>
      </c>
      <c r="BF19" s="41">
        <f t="shared" si="12"/>
        <v>8692.8827342956065</v>
      </c>
      <c r="BG19" s="60">
        <f t="shared" si="13"/>
        <v>48.541666666666664</v>
      </c>
      <c r="BH19" s="61">
        <v>0.90300000000000002</v>
      </c>
      <c r="BI19" s="62">
        <v>0.876</v>
      </c>
      <c r="BJ19" s="42">
        <v>27.3</v>
      </c>
      <c r="BK19" s="41">
        <v>26.96</v>
      </c>
      <c r="BL19" s="41">
        <v>21.83</v>
      </c>
      <c r="BM19" s="41">
        <v>27.43</v>
      </c>
      <c r="BN19" s="63">
        <v>982.71</v>
      </c>
      <c r="BO19" s="63">
        <v>50.06</v>
      </c>
      <c r="BP19" s="64">
        <v>0.94069999999999998</v>
      </c>
      <c r="BQ19" s="42">
        <v>95.9</v>
      </c>
      <c r="BR19" s="42">
        <v>85.73</v>
      </c>
      <c r="BS19" s="41">
        <v>12317</v>
      </c>
      <c r="BT19" s="41">
        <v>12060</v>
      </c>
      <c r="BU19" s="51">
        <f t="shared" si="14"/>
        <v>-257</v>
      </c>
      <c r="BV19" s="41">
        <f t="shared" si="15"/>
        <v>1.7789999999999999</v>
      </c>
      <c r="BW19" s="42">
        <v>12</v>
      </c>
      <c r="BX19" s="42">
        <v>12</v>
      </c>
      <c r="BZ19" s="42">
        <v>24</v>
      </c>
      <c r="CA19" s="42">
        <v>7.1</v>
      </c>
      <c r="CC19" s="42">
        <v>2.1</v>
      </c>
      <c r="CD19" s="42">
        <v>4.0999999999999996</v>
      </c>
      <c r="CE19" s="42">
        <v>1.7</v>
      </c>
      <c r="CF19" s="42">
        <v>1.4</v>
      </c>
    </row>
    <row r="20" spans="1:84">
      <c r="A20" s="452"/>
      <c r="B20" s="24">
        <v>43235</v>
      </c>
      <c r="C20" s="25">
        <v>89.27</v>
      </c>
      <c r="D20" s="26">
        <v>0.44979999999999998</v>
      </c>
      <c r="E20" s="25">
        <v>67.459999999999994</v>
      </c>
      <c r="F20" s="27">
        <v>101</v>
      </c>
      <c r="G20" s="27">
        <v>83</v>
      </c>
      <c r="H20" s="27">
        <v>24</v>
      </c>
      <c r="I20" s="27">
        <v>0</v>
      </c>
      <c r="J20" s="27">
        <v>24</v>
      </c>
      <c r="K20" s="27">
        <v>0</v>
      </c>
      <c r="L20" s="29">
        <v>0</v>
      </c>
      <c r="M20" s="29">
        <v>0</v>
      </c>
      <c r="N20" s="29">
        <v>0</v>
      </c>
      <c r="O20" s="29">
        <v>0</v>
      </c>
      <c r="P20" s="29">
        <v>0</v>
      </c>
      <c r="Q20" s="27">
        <v>0</v>
      </c>
      <c r="R20" s="252">
        <v>3508</v>
      </c>
      <c r="S20" s="253">
        <v>3122</v>
      </c>
      <c r="T20" s="27">
        <v>3122</v>
      </c>
      <c r="U20" s="27">
        <v>3050</v>
      </c>
      <c r="V20" s="27">
        <v>3148</v>
      </c>
      <c r="W20" s="27">
        <v>43</v>
      </c>
      <c r="X20" s="27">
        <v>0</v>
      </c>
      <c r="Y20" s="27">
        <v>44</v>
      </c>
      <c r="Z20" s="29">
        <v>0</v>
      </c>
      <c r="AA20" s="29">
        <v>57</v>
      </c>
      <c r="AB20" s="29">
        <v>0</v>
      </c>
      <c r="AC20" s="32">
        <f t="shared" si="0"/>
        <v>98</v>
      </c>
      <c r="AD20" s="33">
        <f t="shared" si="1"/>
        <v>-72</v>
      </c>
      <c r="AE20" s="27">
        <v>133</v>
      </c>
      <c r="AF20" s="34">
        <f t="shared" si="2"/>
        <v>0.98621553884711777</v>
      </c>
      <c r="AG20" s="35">
        <f t="shared" si="3"/>
        <v>146.16666666666666</v>
      </c>
      <c r="AH20" s="34">
        <f t="shared" si="4"/>
        <v>0.86944127708095786</v>
      </c>
      <c r="AI20" s="226">
        <f t="shared" si="18"/>
        <v>1</v>
      </c>
      <c r="AJ20" s="37">
        <f t="shared" si="6"/>
        <v>0.91666666666666663</v>
      </c>
      <c r="AK20" s="236">
        <v>9.3330000000000002</v>
      </c>
      <c r="AL20" s="240">
        <v>146.44</v>
      </c>
      <c r="AM20" s="38">
        <f t="shared" si="7"/>
        <v>1366.72452</v>
      </c>
      <c r="AN20" s="236">
        <v>25.773</v>
      </c>
      <c r="AO20" s="330">
        <v>970.98028169232668</v>
      </c>
      <c r="AP20" s="39">
        <f t="shared" si="8"/>
        <v>25025.074800056336</v>
      </c>
      <c r="AQ20" s="201">
        <f t="shared" si="9"/>
        <v>8653.0489573955201</v>
      </c>
      <c r="AR20" s="198">
        <f t="shared" si="10"/>
        <v>130.08333333333334</v>
      </c>
      <c r="AS20" s="13"/>
      <c r="AT20" s="27">
        <v>0</v>
      </c>
      <c r="AU20" s="40">
        <v>0</v>
      </c>
      <c r="AV20" s="40">
        <v>0</v>
      </c>
      <c r="AW20" s="40">
        <v>0</v>
      </c>
      <c r="AX20" s="40">
        <v>12</v>
      </c>
      <c r="AY20" s="40">
        <v>1440</v>
      </c>
      <c r="AZ20" s="27">
        <v>0</v>
      </c>
      <c r="BA20" s="332">
        <f t="shared" si="17"/>
        <v>15</v>
      </c>
      <c r="BB20" s="52">
        <v>1033</v>
      </c>
      <c r="BC20" s="52">
        <v>1048</v>
      </c>
      <c r="BD20" s="52">
        <v>1067</v>
      </c>
      <c r="BE20" s="41">
        <f t="shared" si="11"/>
        <v>15</v>
      </c>
      <c r="BF20" s="41">
        <f t="shared" si="12"/>
        <v>8653.0489573955201</v>
      </c>
      <c r="BG20" s="60">
        <f t="shared" si="13"/>
        <v>44.458333333333336</v>
      </c>
      <c r="BH20" s="43">
        <v>0.35399999999999998</v>
      </c>
      <c r="BI20" s="44">
        <v>0.30299999999999999</v>
      </c>
      <c r="BJ20" s="45">
        <v>27.01</v>
      </c>
      <c r="BK20" s="47">
        <v>27.03</v>
      </c>
      <c r="BL20" s="47">
        <v>21.76</v>
      </c>
      <c r="BM20" s="47">
        <v>27.54</v>
      </c>
      <c r="BN20" s="47">
        <v>983.1</v>
      </c>
      <c r="BO20" s="45">
        <v>50.18</v>
      </c>
      <c r="BP20" s="48">
        <v>0.94</v>
      </c>
      <c r="BQ20" s="42">
        <v>95.74</v>
      </c>
      <c r="BR20" s="42">
        <v>85.57</v>
      </c>
      <c r="BS20" s="41">
        <v>12293</v>
      </c>
      <c r="BT20" s="41">
        <v>12008</v>
      </c>
      <c r="BU20" s="51">
        <f t="shared" si="14"/>
        <v>-285</v>
      </c>
      <c r="BV20" s="41">
        <f t="shared" si="15"/>
        <v>0.65700000000000003</v>
      </c>
      <c r="BW20" s="42">
        <v>24</v>
      </c>
      <c r="BX20" s="42">
        <v>24</v>
      </c>
      <c r="BZ20" s="42">
        <v>24</v>
      </c>
      <c r="CA20" s="42">
        <v>6.7</v>
      </c>
      <c r="CC20" s="42">
        <v>2.1</v>
      </c>
      <c r="CD20" s="42">
        <v>4.0999999999999996</v>
      </c>
      <c r="CE20" s="42">
        <v>1.8</v>
      </c>
      <c r="CF20" s="42">
        <v>1.4</v>
      </c>
    </row>
    <row r="21" spans="1:84">
      <c r="A21" s="452"/>
      <c r="B21" s="24">
        <v>43236</v>
      </c>
      <c r="C21" s="25">
        <v>87.66</v>
      </c>
      <c r="D21" s="26">
        <v>0.4834</v>
      </c>
      <c r="E21" s="25">
        <v>67.23</v>
      </c>
      <c r="F21" s="27">
        <v>101</v>
      </c>
      <c r="G21" s="27">
        <v>76</v>
      </c>
      <c r="H21" s="27">
        <v>9</v>
      </c>
      <c r="I21" s="27">
        <v>30</v>
      </c>
      <c r="J21" s="27">
        <v>9</v>
      </c>
      <c r="K21" s="27">
        <v>30</v>
      </c>
      <c r="L21" s="29">
        <v>0</v>
      </c>
      <c r="M21" s="29">
        <v>0</v>
      </c>
      <c r="N21" s="29">
        <v>0</v>
      </c>
      <c r="O21" s="29">
        <v>0</v>
      </c>
      <c r="P21" s="29">
        <v>0</v>
      </c>
      <c r="Q21" s="27">
        <v>0</v>
      </c>
      <c r="R21" s="252">
        <v>3515</v>
      </c>
      <c r="S21" s="253">
        <v>2106</v>
      </c>
      <c r="T21" s="253">
        <v>2028</v>
      </c>
      <c r="U21" s="253">
        <v>1295</v>
      </c>
      <c r="V21" s="253">
        <v>1339</v>
      </c>
      <c r="W21" s="27">
        <v>43</v>
      </c>
      <c r="X21" s="27">
        <v>870</v>
      </c>
      <c r="Y21" s="27">
        <v>44</v>
      </c>
      <c r="Z21" s="29">
        <v>715</v>
      </c>
      <c r="AA21" s="29">
        <v>57</v>
      </c>
      <c r="AB21" s="29">
        <v>870</v>
      </c>
      <c r="AC21" s="32">
        <f t="shared" si="0"/>
        <v>53</v>
      </c>
      <c r="AD21" s="33">
        <f t="shared" si="1"/>
        <v>-733</v>
      </c>
      <c r="AE21" s="27">
        <v>133</v>
      </c>
      <c r="AF21" s="34">
        <f t="shared" si="2"/>
        <v>0.41948621553884713</v>
      </c>
      <c r="AG21" s="35">
        <f t="shared" si="3"/>
        <v>146.45833333333334</v>
      </c>
      <c r="AH21" s="34">
        <f>IF(U21&gt;0,(U21/R21),"no data")</f>
        <v>0.36842105263157893</v>
      </c>
      <c r="AI21" s="226">
        <f t="shared" si="18"/>
        <v>0.4287229938271605</v>
      </c>
      <c r="AJ21" s="37">
        <f t="shared" si="6"/>
        <v>0.38676697530864196</v>
      </c>
      <c r="AK21" s="236">
        <v>5.0039999999999996</v>
      </c>
      <c r="AL21" s="240">
        <v>140.30000000000001</v>
      </c>
      <c r="AM21" s="38">
        <f t="shared" si="7"/>
        <v>702.06119999999999</v>
      </c>
      <c r="AN21" s="236">
        <v>12.1707</v>
      </c>
      <c r="AO21" s="330">
        <v>972.80189307106411</v>
      </c>
      <c r="AP21" s="39">
        <f t="shared" si="8"/>
        <v>11839.68</v>
      </c>
      <c r="AQ21" s="201">
        <f t="shared" si="9"/>
        <v>9684.7422393822399</v>
      </c>
      <c r="AR21" s="229">
        <f t="shared" ref="AR21:AR39" si="19">IF(S21&gt;0,S21/24, "no data")</f>
        <v>87.75</v>
      </c>
      <c r="AS21" s="13"/>
      <c r="AT21" s="27">
        <v>0</v>
      </c>
      <c r="AU21" s="40">
        <v>0</v>
      </c>
      <c r="AV21" s="40">
        <v>12</v>
      </c>
      <c r="AW21" s="27">
        <v>155</v>
      </c>
      <c r="AX21" s="40">
        <v>12</v>
      </c>
      <c r="AY21" s="27">
        <v>570</v>
      </c>
      <c r="AZ21" s="27">
        <v>9</v>
      </c>
      <c r="BA21" s="332">
        <f t="shared" si="17"/>
        <v>88</v>
      </c>
      <c r="BB21" s="52">
        <v>413</v>
      </c>
      <c r="BC21" s="52">
        <v>501</v>
      </c>
      <c r="BD21" s="52">
        <v>425</v>
      </c>
      <c r="BE21" s="41">
        <f t="shared" si="11"/>
        <v>88</v>
      </c>
      <c r="BF21" s="41">
        <f t="shared" si="12"/>
        <v>9684.7422393822399</v>
      </c>
      <c r="BG21" s="60">
        <f t="shared" si="13"/>
        <v>17.708333333333332</v>
      </c>
      <c r="BH21" s="43">
        <v>0.11799999999999999</v>
      </c>
      <c r="BI21" s="44">
        <v>0.11799999999999999</v>
      </c>
      <c r="BJ21" s="45">
        <v>27</v>
      </c>
      <c r="BK21" s="45">
        <v>10.88</v>
      </c>
      <c r="BL21" s="47">
        <v>10.81</v>
      </c>
      <c r="BM21" s="47">
        <v>13.14</v>
      </c>
      <c r="BN21" s="66">
        <v>983.04</v>
      </c>
      <c r="BO21" s="45">
        <v>50.12</v>
      </c>
      <c r="BP21" s="48">
        <v>0.94020000000000004</v>
      </c>
      <c r="BQ21" s="42">
        <v>96.19</v>
      </c>
      <c r="BR21" s="42">
        <v>85.66</v>
      </c>
      <c r="BS21" s="41">
        <v>12204</v>
      </c>
      <c r="BT21" s="41">
        <v>11959</v>
      </c>
      <c r="BU21" s="51">
        <f t="shared" si="14"/>
        <v>-245</v>
      </c>
      <c r="BV21" s="41">
        <f t="shared" si="15"/>
        <v>0.23599999999999999</v>
      </c>
      <c r="BW21" s="42">
        <v>8.3000000000000007</v>
      </c>
      <c r="BX21" s="42">
        <v>8.3000000000000007</v>
      </c>
      <c r="BZ21" s="42">
        <v>9.5</v>
      </c>
      <c r="CA21" s="42">
        <v>6.57</v>
      </c>
      <c r="CC21" s="42">
        <v>2.1</v>
      </c>
      <c r="CD21" s="42">
        <v>4.2</v>
      </c>
      <c r="CE21" s="42">
        <v>1.8</v>
      </c>
      <c r="CF21" s="42">
        <v>1.2</v>
      </c>
    </row>
    <row r="22" spans="1:84">
      <c r="A22" s="452"/>
      <c r="B22" s="24">
        <v>43237</v>
      </c>
      <c r="C22" s="25">
        <v>87.9</v>
      </c>
      <c r="D22" s="26">
        <v>0.46800000000000003</v>
      </c>
      <c r="E22" s="38">
        <v>66.900000000000006</v>
      </c>
      <c r="F22" s="27">
        <v>99</v>
      </c>
      <c r="G22" s="27">
        <v>82</v>
      </c>
      <c r="H22" s="27">
        <v>0</v>
      </c>
      <c r="I22" s="27">
        <v>48</v>
      </c>
      <c r="J22" s="27">
        <v>0</v>
      </c>
      <c r="K22" s="27">
        <v>0</v>
      </c>
      <c r="L22" s="29">
        <v>0</v>
      </c>
      <c r="M22" s="29">
        <v>0</v>
      </c>
      <c r="N22" s="29">
        <v>0</v>
      </c>
      <c r="O22" s="29">
        <v>0</v>
      </c>
      <c r="P22" s="29">
        <v>0</v>
      </c>
      <c r="Q22" s="27">
        <v>0</v>
      </c>
      <c r="R22" s="252">
        <v>3520</v>
      </c>
      <c r="S22" s="253">
        <v>212</v>
      </c>
      <c r="T22" s="27">
        <v>212</v>
      </c>
      <c r="U22" s="27">
        <v>213</v>
      </c>
      <c r="V22" s="27">
        <v>235</v>
      </c>
      <c r="W22" s="27">
        <v>43</v>
      </c>
      <c r="X22" s="27">
        <v>1026</v>
      </c>
      <c r="Y22" s="27">
        <v>44</v>
      </c>
      <c r="Z22" s="29">
        <v>1422</v>
      </c>
      <c r="AA22" s="29">
        <v>57</v>
      </c>
      <c r="AB22" s="29">
        <v>1387</v>
      </c>
      <c r="AC22" s="32">
        <f t="shared" si="0"/>
        <v>39</v>
      </c>
      <c r="AD22" s="33">
        <f t="shared" si="1"/>
        <v>1</v>
      </c>
      <c r="AE22" s="27">
        <v>57</v>
      </c>
      <c r="AF22" s="34">
        <f t="shared" si="2"/>
        <v>0.17178362573099415</v>
      </c>
      <c r="AG22" s="35">
        <f t="shared" si="3"/>
        <v>146.66666666666666</v>
      </c>
      <c r="AH22" s="34">
        <f t="shared" si="4"/>
        <v>6.0511363636363634E-2</v>
      </c>
      <c r="AI22" s="226">
        <f t="shared" si="18"/>
        <v>0.10423900462962968</v>
      </c>
      <c r="AJ22" s="37">
        <f t="shared" si="6"/>
        <v>6.8118248456790154E-2</v>
      </c>
      <c r="AK22" s="235">
        <v>0</v>
      </c>
      <c r="AL22" s="239">
        <v>0</v>
      </c>
      <c r="AM22" s="38">
        <f t="shared" si="7"/>
        <v>0</v>
      </c>
      <c r="AN22" s="235">
        <v>3.2584010000000001</v>
      </c>
      <c r="AO22" s="330">
        <v>980.79303314723995</v>
      </c>
      <c r="AP22" s="39">
        <f t="shared" si="8"/>
        <v>3195.817</v>
      </c>
      <c r="AQ22" s="201">
        <f t="shared" si="9"/>
        <v>15003.835680751174</v>
      </c>
      <c r="AR22" s="229">
        <f t="shared" si="19"/>
        <v>8.8333333333333339</v>
      </c>
      <c r="AS22" s="13"/>
      <c r="AT22" s="27">
        <v>13</v>
      </c>
      <c r="AU22" s="40">
        <v>366</v>
      </c>
      <c r="AV22" s="40">
        <v>34</v>
      </c>
      <c r="AW22" s="27">
        <v>18</v>
      </c>
      <c r="AX22" s="40">
        <v>40</v>
      </c>
      <c r="AY22" s="27">
        <v>53</v>
      </c>
      <c r="AZ22" s="27">
        <v>17</v>
      </c>
      <c r="BA22" s="332">
        <f t="shared" si="17"/>
        <v>-212</v>
      </c>
      <c r="BB22" s="52">
        <v>216</v>
      </c>
      <c r="BC22" s="52">
        <v>4</v>
      </c>
      <c r="BD22" s="52">
        <v>15</v>
      </c>
      <c r="BE22" s="41">
        <f t="shared" si="11"/>
        <v>-212</v>
      </c>
      <c r="BF22" s="41">
        <f t="shared" si="12"/>
        <v>15003.835680751174</v>
      </c>
      <c r="BG22" s="60">
        <f t="shared" si="13"/>
        <v>0.625</v>
      </c>
      <c r="BH22" s="43">
        <v>0</v>
      </c>
      <c r="BI22" s="44">
        <v>0</v>
      </c>
      <c r="BJ22" s="45">
        <v>0</v>
      </c>
      <c r="BK22" s="47">
        <v>6.43</v>
      </c>
      <c r="BL22" s="47">
        <v>0.39</v>
      </c>
      <c r="BM22" s="47">
        <v>0</v>
      </c>
      <c r="BN22" s="47">
        <v>983.25</v>
      </c>
      <c r="BO22" s="45">
        <v>50.1</v>
      </c>
      <c r="BP22" s="48">
        <v>0</v>
      </c>
      <c r="BQ22" s="42">
        <v>85.74</v>
      </c>
      <c r="BR22" s="42">
        <v>0</v>
      </c>
      <c r="BS22" s="41">
        <v>13641</v>
      </c>
      <c r="BT22" s="41">
        <v>0</v>
      </c>
      <c r="BU22" s="51">
        <f t="shared" si="14"/>
        <v>-13641</v>
      </c>
      <c r="BV22" s="41">
        <f t="shared" si="15"/>
        <v>0</v>
      </c>
      <c r="BW22" s="42">
        <v>0</v>
      </c>
      <c r="BX22" s="42">
        <v>0</v>
      </c>
      <c r="BZ22" s="42">
        <v>0</v>
      </c>
      <c r="CA22" s="42">
        <v>4.42</v>
      </c>
      <c r="CC22" s="42">
        <v>2</v>
      </c>
      <c r="CD22" s="42">
        <v>4.2</v>
      </c>
      <c r="CE22" s="42">
        <v>0</v>
      </c>
      <c r="CF22" s="42">
        <v>0</v>
      </c>
    </row>
    <row r="23" spans="1:84">
      <c r="A23" s="452"/>
      <c r="B23" s="24">
        <v>43238</v>
      </c>
      <c r="C23" s="25">
        <v>91.2</v>
      </c>
      <c r="D23" s="26">
        <v>0.40899999999999997</v>
      </c>
      <c r="E23" s="38">
        <v>66.8</v>
      </c>
      <c r="F23" s="28">
        <v>104</v>
      </c>
      <c r="G23" s="28">
        <v>80</v>
      </c>
      <c r="H23" s="28">
        <v>24</v>
      </c>
      <c r="I23" s="28">
        <v>0</v>
      </c>
      <c r="J23" s="28">
        <v>23</v>
      </c>
      <c r="K23" s="28">
        <v>27</v>
      </c>
      <c r="L23" s="28">
        <v>0</v>
      </c>
      <c r="M23" s="28">
        <v>0</v>
      </c>
      <c r="N23" s="28">
        <v>0</v>
      </c>
      <c r="O23" s="28">
        <v>0</v>
      </c>
      <c r="P23" s="28">
        <v>0</v>
      </c>
      <c r="Q23" s="27">
        <v>0</v>
      </c>
      <c r="R23" s="252">
        <v>3483</v>
      </c>
      <c r="S23" s="253">
        <v>3123</v>
      </c>
      <c r="T23" s="28">
        <v>3061</v>
      </c>
      <c r="U23" s="28">
        <v>3007</v>
      </c>
      <c r="V23" s="28">
        <v>3106</v>
      </c>
      <c r="W23" s="28">
        <v>43</v>
      </c>
      <c r="X23" s="28">
        <v>0</v>
      </c>
      <c r="Y23" s="28">
        <v>45</v>
      </c>
      <c r="Z23" s="28">
        <v>0</v>
      </c>
      <c r="AA23" s="28">
        <v>57</v>
      </c>
      <c r="AB23" s="28">
        <v>0</v>
      </c>
      <c r="AC23" s="32">
        <f t="shared" si="0"/>
        <v>99</v>
      </c>
      <c r="AD23" s="33">
        <f t="shared" si="1"/>
        <v>-54</v>
      </c>
      <c r="AE23" s="28">
        <v>132</v>
      </c>
      <c r="AF23" s="34">
        <f t="shared" si="2"/>
        <v>0.98042929292929293</v>
      </c>
      <c r="AG23" s="35">
        <f t="shared" si="3"/>
        <v>145.125</v>
      </c>
      <c r="AH23" s="34">
        <f t="shared" si="4"/>
        <v>0.86333620442147574</v>
      </c>
      <c r="AI23" s="226">
        <f t="shared" si="18"/>
        <v>1</v>
      </c>
      <c r="AJ23" s="37">
        <f t="shared" si="6"/>
        <v>0.89433908045977006</v>
      </c>
      <c r="AK23" s="235">
        <v>9.5839999999999996</v>
      </c>
      <c r="AL23" s="239">
        <v>147.13999999999999</v>
      </c>
      <c r="AM23" s="38">
        <f t="shared" si="7"/>
        <v>1410.1897599999998</v>
      </c>
      <c r="AN23" s="235">
        <v>25.063549999999999</v>
      </c>
      <c r="AO23" s="330">
        <v>978.53975195054181</v>
      </c>
      <c r="AP23" s="39">
        <f t="shared" si="8"/>
        <v>24525.68</v>
      </c>
      <c r="AQ23" s="201">
        <f t="shared" si="9"/>
        <v>8625.164536082475</v>
      </c>
      <c r="AR23" s="229">
        <f t="shared" si="19"/>
        <v>130.125</v>
      </c>
      <c r="AS23" s="13"/>
      <c r="AT23" s="28">
        <v>0</v>
      </c>
      <c r="AU23" s="40">
        <v>0</v>
      </c>
      <c r="AV23" s="40">
        <v>14</v>
      </c>
      <c r="AW23" s="27">
        <v>33</v>
      </c>
      <c r="AX23" s="28">
        <v>15</v>
      </c>
      <c r="AY23" s="28">
        <v>1440</v>
      </c>
      <c r="AZ23" s="28">
        <v>0</v>
      </c>
      <c r="BA23" s="332">
        <f t="shared" si="17"/>
        <v>47</v>
      </c>
      <c r="BB23" s="52">
        <v>1031</v>
      </c>
      <c r="BC23" s="52">
        <v>1078</v>
      </c>
      <c r="BD23" s="52">
        <v>997</v>
      </c>
      <c r="BE23" s="41">
        <f t="shared" si="11"/>
        <v>47</v>
      </c>
      <c r="BF23" s="41">
        <f t="shared" si="12"/>
        <v>8625.164536082475</v>
      </c>
      <c r="BG23" s="60">
        <f t="shared" si="13"/>
        <v>41.541666666666664</v>
      </c>
      <c r="BH23" s="71">
        <v>0</v>
      </c>
      <c r="BI23" s="71">
        <v>0</v>
      </c>
      <c r="BJ23" s="72">
        <v>27</v>
      </c>
      <c r="BK23" s="72">
        <v>26.76</v>
      </c>
      <c r="BL23" s="72">
        <v>22.1</v>
      </c>
      <c r="BM23" s="72">
        <v>28.2</v>
      </c>
      <c r="BN23" s="73">
        <v>982.2</v>
      </c>
      <c r="BO23" s="73">
        <v>50.11</v>
      </c>
      <c r="BP23" s="74">
        <v>0.9395</v>
      </c>
      <c r="BQ23" s="54">
        <v>95.1</v>
      </c>
      <c r="BR23" s="54">
        <v>86.65</v>
      </c>
      <c r="BS23" s="55">
        <v>12203</v>
      </c>
      <c r="BT23" s="55">
        <v>11874</v>
      </c>
      <c r="BU23" s="51">
        <f t="shared" si="14"/>
        <v>-329</v>
      </c>
      <c r="BV23" s="41">
        <f t="shared" si="15"/>
        <v>0</v>
      </c>
      <c r="BW23" s="73">
        <v>0</v>
      </c>
      <c r="BX23" s="73">
        <v>0</v>
      </c>
      <c r="BZ23" s="73">
        <v>23.5</v>
      </c>
      <c r="CA23" s="73">
        <v>6.7</v>
      </c>
      <c r="CC23" s="73">
        <v>2.2000000000000002</v>
      </c>
      <c r="CD23" s="73">
        <v>4.3</v>
      </c>
      <c r="CE23" s="73">
        <v>1.9</v>
      </c>
      <c r="CF23" s="73">
        <v>-0.5</v>
      </c>
    </row>
    <row r="24" spans="1:84">
      <c r="A24" s="452"/>
      <c r="B24" s="24">
        <v>43239</v>
      </c>
      <c r="C24" s="25">
        <v>88</v>
      </c>
      <c r="D24" s="26">
        <v>0.4</v>
      </c>
      <c r="E24" s="38">
        <v>64</v>
      </c>
      <c r="F24" s="75">
        <v>99</v>
      </c>
      <c r="G24" s="75">
        <v>79</v>
      </c>
      <c r="H24" s="27">
        <v>24</v>
      </c>
      <c r="I24" s="27">
        <v>0</v>
      </c>
      <c r="J24" s="27">
        <v>24</v>
      </c>
      <c r="K24" s="27">
        <v>0</v>
      </c>
      <c r="L24" s="29">
        <v>0</v>
      </c>
      <c r="M24" s="29">
        <v>0</v>
      </c>
      <c r="N24" s="29">
        <v>0</v>
      </c>
      <c r="O24" s="29">
        <v>0</v>
      </c>
      <c r="P24" s="29">
        <v>0</v>
      </c>
      <c r="Q24" s="253">
        <v>0</v>
      </c>
      <c r="R24" s="252">
        <v>3524</v>
      </c>
      <c r="S24" s="253">
        <v>3138</v>
      </c>
      <c r="T24" s="75">
        <v>3138</v>
      </c>
      <c r="U24" s="75">
        <v>3069</v>
      </c>
      <c r="V24" s="27">
        <v>3163</v>
      </c>
      <c r="W24" s="27">
        <v>44</v>
      </c>
      <c r="X24" s="27">
        <v>0</v>
      </c>
      <c r="Y24" s="27">
        <v>45</v>
      </c>
      <c r="Z24" s="29">
        <v>0</v>
      </c>
      <c r="AA24" s="29">
        <v>57</v>
      </c>
      <c r="AB24" s="29">
        <v>0</v>
      </c>
      <c r="AC24" s="32">
        <f t="shared" si="0"/>
        <v>94</v>
      </c>
      <c r="AD24" s="33">
        <f t="shared" si="1"/>
        <v>-69</v>
      </c>
      <c r="AE24" s="28">
        <v>134</v>
      </c>
      <c r="AF24" s="34">
        <f t="shared" si="2"/>
        <v>0.98351990049751248</v>
      </c>
      <c r="AG24" s="35">
        <f t="shared" si="3"/>
        <v>146.83333333333334</v>
      </c>
      <c r="AH24" s="34">
        <f t="shared" si="4"/>
        <v>0.87088535754824059</v>
      </c>
      <c r="AI24" s="226">
        <f t="shared" si="18"/>
        <v>1</v>
      </c>
      <c r="AJ24" s="37">
        <f t="shared" si="6"/>
        <v>0.90410958904109595</v>
      </c>
      <c r="AK24" s="235">
        <v>9.4610000000000003</v>
      </c>
      <c r="AL24" s="239">
        <v>144.84</v>
      </c>
      <c r="AM24" s="38">
        <f t="shared" si="7"/>
        <v>1370.33124</v>
      </c>
      <c r="AN24" s="235">
        <v>25.358499999999999</v>
      </c>
      <c r="AO24" s="330">
        <v>973.04769603880356</v>
      </c>
      <c r="AP24" s="39">
        <f t="shared" si="8"/>
        <v>24675.03</v>
      </c>
      <c r="AQ24" s="201">
        <f t="shared" si="9"/>
        <v>8486.5953861192556</v>
      </c>
      <c r="AR24" s="229">
        <f t="shared" si="19"/>
        <v>130.75</v>
      </c>
      <c r="AS24" s="13"/>
      <c r="AT24" s="27">
        <v>0</v>
      </c>
      <c r="AU24" s="40">
        <v>0</v>
      </c>
      <c r="AV24" s="40">
        <v>0</v>
      </c>
      <c r="AW24" s="27">
        <v>0</v>
      </c>
      <c r="AX24" s="40">
        <v>14</v>
      </c>
      <c r="AY24" s="27">
        <v>1440</v>
      </c>
      <c r="AZ24" s="27">
        <v>0</v>
      </c>
      <c r="BA24" s="332">
        <f t="shared" si="17"/>
        <v>46</v>
      </c>
      <c r="BB24" s="52">
        <v>1047</v>
      </c>
      <c r="BC24" s="52">
        <v>1093</v>
      </c>
      <c r="BD24" s="52">
        <v>1023</v>
      </c>
      <c r="BE24" s="41">
        <f t="shared" si="11"/>
        <v>46</v>
      </c>
      <c r="BF24" s="41">
        <f t="shared" si="12"/>
        <v>8486.5953861192556</v>
      </c>
      <c r="BG24" s="60">
        <f t="shared" si="13"/>
        <v>42.625</v>
      </c>
      <c r="BH24" s="43">
        <v>0</v>
      </c>
      <c r="BI24" s="44">
        <v>0</v>
      </c>
      <c r="BJ24" s="45">
        <v>27</v>
      </c>
      <c r="BK24" s="47">
        <v>27.09</v>
      </c>
      <c r="BL24" s="47">
        <v>22.15</v>
      </c>
      <c r="BM24" s="47">
        <v>27.63</v>
      </c>
      <c r="BN24" s="47">
        <v>983.8</v>
      </c>
      <c r="BO24" s="45">
        <v>50.11</v>
      </c>
      <c r="BP24" s="48">
        <v>0.9395</v>
      </c>
      <c r="BQ24" s="54">
        <v>95.8</v>
      </c>
      <c r="BR24" s="54">
        <v>86.56</v>
      </c>
      <c r="BS24" s="55">
        <v>12169</v>
      </c>
      <c r="BT24" s="55">
        <v>11670</v>
      </c>
      <c r="BU24" s="51">
        <f t="shared" si="14"/>
        <v>-499</v>
      </c>
      <c r="BV24" s="41">
        <f t="shared" si="15"/>
        <v>0</v>
      </c>
      <c r="BW24" s="42">
        <v>0</v>
      </c>
      <c r="BX24" s="42">
        <v>0</v>
      </c>
      <c r="BZ24" s="42">
        <v>24</v>
      </c>
      <c r="CA24" s="42">
        <v>7</v>
      </c>
      <c r="CC24" s="42">
        <v>2</v>
      </c>
      <c r="CD24" s="42">
        <v>4.0999999999999996</v>
      </c>
      <c r="CE24" s="42">
        <v>2.1</v>
      </c>
      <c r="CF24" s="42">
        <v>0</v>
      </c>
    </row>
    <row r="25" spans="1:84">
      <c r="A25" s="453"/>
      <c r="B25" s="24">
        <v>43240</v>
      </c>
      <c r="C25" s="25">
        <v>91.4</v>
      </c>
      <c r="D25" s="26">
        <v>0.37</v>
      </c>
      <c r="E25" s="38">
        <v>65</v>
      </c>
      <c r="F25" s="28">
        <v>103</v>
      </c>
      <c r="G25" s="28">
        <v>78</v>
      </c>
      <c r="H25" s="27">
        <v>24</v>
      </c>
      <c r="I25" s="27">
        <v>0</v>
      </c>
      <c r="J25" s="27">
        <v>24</v>
      </c>
      <c r="K25" s="27">
        <v>0</v>
      </c>
      <c r="L25" s="29">
        <v>0</v>
      </c>
      <c r="M25" s="29">
        <v>0</v>
      </c>
      <c r="N25" s="29">
        <v>0</v>
      </c>
      <c r="O25" s="29">
        <v>0</v>
      </c>
      <c r="P25" s="29">
        <v>0</v>
      </c>
      <c r="Q25" s="253">
        <v>0</v>
      </c>
      <c r="R25" s="251">
        <v>3485</v>
      </c>
      <c r="S25" s="253">
        <v>3116</v>
      </c>
      <c r="T25" s="28">
        <v>3116</v>
      </c>
      <c r="U25" s="28">
        <v>3046</v>
      </c>
      <c r="V25" s="27">
        <v>3143</v>
      </c>
      <c r="W25" s="27">
        <v>43</v>
      </c>
      <c r="X25" s="27">
        <v>0</v>
      </c>
      <c r="Y25" s="27">
        <v>45</v>
      </c>
      <c r="Z25" s="29">
        <v>0</v>
      </c>
      <c r="AA25" s="29">
        <v>57</v>
      </c>
      <c r="AB25" s="29">
        <v>0</v>
      </c>
      <c r="AC25" s="32">
        <f t="shared" si="0"/>
        <v>97</v>
      </c>
      <c r="AD25" s="33">
        <f t="shared" si="1"/>
        <v>-70</v>
      </c>
      <c r="AE25" s="28">
        <v>133</v>
      </c>
      <c r="AF25" s="34">
        <f t="shared" si="2"/>
        <v>0.98464912280701755</v>
      </c>
      <c r="AG25" s="35">
        <f t="shared" si="3"/>
        <v>145.20833333333334</v>
      </c>
      <c r="AH25" s="34">
        <f t="shared" si="4"/>
        <v>0.87403156384505021</v>
      </c>
      <c r="AI25" s="226">
        <f t="shared" si="18"/>
        <v>1</v>
      </c>
      <c r="AJ25" s="37">
        <f t="shared" si="6"/>
        <v>0.89655172413793105</v>
      </c>
      <c r="AK25" s="235">
        <v>9.4039999999999999</v>
      </c>
      <c r="AL25" s="239">
        <v>147.9</v>
      </c>
      <c r="AM25" s="38">
        <f t="shared" si="7"/>
        <v>1390.8516</v>
      </c>
      <c r="AN25" s="235">
        <v>25.213010000000001</v>
      </c>
      <c r="AO25" s="330">
        <v>975.88744858309269</v>
      </c>
      <c r="AP25" s="39">
        <f t="shared" si="8"/>
        <v>24605.06</v>
      </c>
      <c r="AQ25" s="201">
        <f t="shared" si="9"/>
        <v>8534.4424162836513</v>
      </c>
      <c r="AR25" s="229">
        <f t="shared" si="19"/>
        <v>129.83333333333334</v>
      </c>
      <c r="AS25" s="13"/>
      <c r="AT25" s="27">
        <v>0</v>
      </c>
      <c r="AU25" s="40">
        <v>0</v>
      </c>
      <c r="AV25" s="40">
        <v>0</v>
      </c>
      <c r="AW25" s="27">
        <v>0</v>
      </c>
      <c r="AX25" s="40">
        <v>15</v>
      </c>
      <c r="AY25" s="27">
        <v>1440</v>
      </c>
      <c r="AZ25" s="27">
        <v>0</v>
      </c>
      <c r="BA25" s="332">
        <f t="shared" si="17"/>
        <v>46</v>
      </c>
      <c r="BB25" s="52">
        <v>1039</v>
      </c>
      <c r="BC25" s="52">
        <v>1085</v>
      </c>
      <c r="BD25" s="52">
        <v>1019</v>
      </c>
      <c r="BE25" s="41">
        <f t="shared" si="11"/>
        <v>46</v>
      </c>
      <c r="BF25" s="41">
        <f t="shared" si="12"/>
        <v>8534.4424162836513</v>
      </c>
      <c r="BG25" s="60">
        <f t="shared" si="13"/>
        <v>42.458333333333336</v>
      </c>
      <c r="BH25" s="43">
        <v>0</v>
      </c>
      <c r="BI25" s="44">
        <v>0</v>
      </c>
      <c r="BJ25" s="45">
        <v>27</v>
      </c>
      <c r="BK25" s="47">
        <v>26.9</v>
      </c>
      <c r="BL25" s="47">
        <v>22</v>
      </c>
      <c r="BM25" s="47">
        <v>26.94</v>
      </c>
      <c r="BN25" s="47">
        <v>984.1</v>
      </c>
      <c r="BO25" s="45">
        <v>50.06</v>
      </c>
      <c r="BP25" s="48">
        <v>0.94030000000000002</v>
      </c>
      <c r="BQ25" s="54">
        <v>95.45</v>
      </c>
      <c r="BR25" s="54">
        <v>86.58</v>
      </c>
      <c r="BS25" s="55">
        <v>12157</v>
      </c>
      <c r="BT25" s="55">
        <v>11652</v>
      </c>
      <c r="BU25" s="51">
        <f t="shared" si="14"/>
        <v>-505</v>
      </c>
      <c r="BV25" s="41">
        <f t="shared" si="15"/>
        <v>0</v>
      </c>
      <c r="BW25" s="42">
        <v>0</v>
      </c>
      <c r="BX25" s="42">
        <v>0</v>
      </c>
      <c r="BZ25" s="42">
        <v>24</v>
      </c>
      <c r="CA25" s="42">
        <v>6.5</v>
      </c>
      <c r="CC25" s="42">
        <v>2.1</v>
      </c>
      <c r="CD25" s="42">
        <v>4.0999999999999996</v>
      </c>
      <c r="CE25" s="42">
        <v>2.1</v>
      </c>
      <c r="CF25" s="42">
        <v>0</v>
      </c>
    </row>
    <row r="26" spans="1:84" ht="15" customHeight="1">
      <c r="A26" s="451" t="s">
        <v>194</v>
      </c>
      <c r="B26" s="24">
        <v>43241</v>
      </c>
      <c r="C26" s="157">
        <v>92.9</v>
      </c>
      <c r="D26" s="197">
        <v>0.34189999999999998</v>
      </c>
      <c r="E26" s="171">
        <v>65.099999999999994</v>
      </c>
      <c r="F26" s="160">
        <v>104</v>
      </c>
      <c r="G26" s="160">
        <v>82</v>
      </c>
      <c r="H26" s="160">
        <v>24</v>
      </c>
      <c r="I26" s="160">
        <v>0</v>
      </c>
      <c r="J26" s="160">
        <v>24</v>
      </c>
      <c r="K26" s="160">
        <v>0</v>
      </c>
      <c r="L26" s="188">
        <v>0</v>
      </c>
      <c r="M26" s="188">
        <v>0</v>
      </c>
      <c r="N26" s="188">
        <v>0</v>
      </c>
      <c r="O26" s="188">
        <v>0</v>
      </c>
      <c r="P26" s="188">
        <v>0</v>
      </c>
      <c r="Q26" s="262">
        <v>0</v>
      </c>
      <c r="R26" s="257">
        <v>3470</v>
      </c>
      <c r="S26" s="159">
        <v>3113</v>
      </c>
      <c r="T26" s="160">
        <v>3113</v>
      </c>
      <c r="U26" s="160">
        <v>3043</v>
      </c>
      <c r="V26" s="160">
        <v>3140</v>
      </c>
      <c r="W26" s="160">
        <v>43</v>
      </c>
      <c r="X26" s="160">
        <v>0</v>
      </c>
      <c r="Y26" s="160">
        <v>45</v>
      </c>
      <c r="Z26" s="188">
        <v>0</v>
      </c>
      <c r="AA26" s="188">
        <v>57</v>
      </c>
      <c r="AB26" s="188">
        <v>0</v>
      </c>
      <c r="AC26" s="165">
        <f t="shared" si="0"/>
        <v>97</v>
      </c>
      <c r="AD26" s="166">
        <f t="shared" si="1"/>
        <v>-70</v>
      </c>
      <c r="AE26" s="160">
        <v>133</v>
      </c>
      <c r="AF26" s="167">
        <f t="shared" si="2"/>
        <v>0.98370927318295742</v>
      </c>
      <c r="AG26" s="168">
        <f t="shared" si="3"/>
        <v>144.58333333333334</v>
      </c>
      <c r="AH26" s="167">
        <f t="shared" si="4"/>
        <v>0.87694524495677229</v>
      </c>
      <c r="AI26" s="169">
        <f t="shared" si="18"/>
        <v>1</v>
      </c>
      <c r="AJ26" s="170">
        <f t="shared" si="6"/>
        <v>0.89655172413793105</v>
      </c>
      <c r="AK26" s="235">
        <v>9.3879999999999999</v>
      </c>
      <c r="AL26" s="239">
        <v>150.78</v>
      </c>
      <c r="AM26" s="275">
        <f t="shared" si="7"/>
        <v>1415.5226399999999</v>
      </c>
      <c r="AN26" s="235">
        <v>25.173210000000001</v>
      </c>
      <c r="AO26" s="330">
        <v>975.0206668120594</v>
      </c>
      <c r="AP26" s="172">
        <f t="shared" si="8"/>
        <v>24544.400000000001</v>
      </c>
      <c r="AQ26" s="202">
        <f t="shared" si="9"/>
        <v>8531.029457771936</v>
      </c>
      <c r="AR26" s="199">
        <f t="shared" si="19"/>
        <v>129.70833333333334</v>
      </c>
      <c r="AS26" s="13"/>
      <c r="AT26" s="159">
        <v>0</v>
      </c>
      <c r="AU26" s="174">
        <v>0</v>
      </c>
      <c r="AV26" s="174">
        <v>0</v>
      </c>
      <c r="AW26" s="159">
        <v>0</v>
      </c>
      <c r="AX26" s="174">
        <v>15</v>
      </c>
      <c r="AY26" s="159">
        <v>1440</v>
      </c>
      <c r="AZ26" s="159">
        <v>0</v>
      </c>
      <c r="BA26" s="332">
        <f t="shared" si="17"/>
        <v>46</v>
      </c>
      <c r="BB26" s="175">
        <v>1038</v>
      </c>
      <c r="BC26" s="175">
        <v>1084</v>
      </c>
      <c r="BD26" s="175">
        <v>1018</v>
      </c>
      <c r="BE26" s="175">
        <f t="shared" si="11"/>
        <v>46</v>
      </c>
      <c r="BF26" s="175">
        <f t="shared" si="12"/>
        <v>8531.029457771936</v>
      </c>
      <c r="BG26" s="177">
        <f t="shared" si="13"/>
        <v>42.416666666666664</v>
      </c>
      <c r="BH26" s="191">
        <v>0</v>
      </c>
      <c r="BI26" s="155">
        <v>0</v>
      </c>
      <c r="BJ26" s="181">
        <v>27</v>
      </c>
      <c r="BK26" s="192">
        <v>26.84</v>
      </c>
      <c r="BL26" s="192">
        <v>21.94</v>
      </c>
      <c r="BM26" s="192">
        <v>26.87</v>
      </c>
      <c r="BN26" s="192">
        <v>983.67</v>
      </c>
      <c r="BO26" s="192">
        <v>50.1</v>
      </c>
      <c r="BP26" s="193">
        <v>0.93989999999999996</v>
      </c>
      <c r="BQ26" s="194">
        <v>95.23</v>
      </c>
      <c r="BR26" s="194">
        <v>86.56</v>
      </c>
      <c r="BS26" s="194">
        <v>12157</v>
      </c>
      <c r="BT26" s="194">
        <v>11637</v>
      </c>
      <c r="BU26" s="51">
        <f t="shared" si="14"/>
        <v>-520</v>
      </c>
      <c r="BV26" s="175">
        <f t="shared" si="15"/>
        <v>0</v>
      </c>
      <c r="BW26" s="177">
        <v>0</v>
      </c>
      <c r="BX26" s="177">
        <v>0</v>
      </c>
      <c r="BZ26" s="177">
        <v>23.83</v>
      </c>
      <c r="CA26" s="177">
        <v>6.9</v>
      </c>
      <c r="CC26" s="177">
        <v>2.1</v>
      </c>
      <c r="CD26" s="177">
        <v>4.0999999999999996</v>
      </c>
      <c r="CE26" s="177">
        <v>2</v>
      </c>
      <c r="CF26" s="177">
        <v>0</v>
      </c>
    </row>
    <row r="27" spans="1:84">
      <c r="A27" s="452"/>
      <c r="B27" s="24">
        <v>43242</v>
      </c>
      <c r="C27" s="157">
        <v>92.8</v>
      </c>
      <c r="D27" s="197">
        <v>0.31900000000000001</v>
      </c>
      <c r="E27" s="171">
        <v>64.099999999999994</v>
      </c>
      <c r="F27" s="160">
        <v>104</v>
      </c>
      <c r="G27" s="160">
        <v>82</v>
      </c>
      <c r="H27" s="160">
        <v>24</v>
      </c>
      <c r="I27" s="160">
        <v>0</v>
      </c>
      <c r="J27" s="160">
        <v>24</v>
      </c>
      <c r="K27" s="160">
        <v>0</v>
      </c>
      <c r="L27" s="188">
        <v>0</v>
      </c>
      <c r="M27" s="188">
        <v>0</v>
      </c>
      <c r="N27" s="188">
        <v>0</v>
      </c>
      <c r="O27" s="188">
        <v>0</v>
      </c>
      <c r="P27" s="188">
        <v>0</v>
      </c>
      <c r="Q27" s="262">
        <v>0</v>
      </c>
      <c r="R27" s="257">
        <v>3470</v>
      </c>
      <c r="S27" s="159">
        <v>3115</v>
      </c>
      <c r="T27" s="160">
        <v>3115</v>
      </c>
      <c r="U27" s="160">
        <v>3045</v>
      </c>
      <c r="V27" s="160">
        <v>3145</v>
      </c>
      <c r="W27" s="160">
        <v>43</v>
      </c>
      <c r="X27" s="160">
        <v>0</v>
      </c>
      <c r="Y27" s="160">
        <v>45</v>
      </c>
      <c r="Z27" s="188">
        <v>0</v>
      </c>
      <c r="AA27" s="188">
        <v>57</v>
      </c>
      <c r="AB27" s="188">
        <v>0</v>
      </c>
      <c r="AC27" s="165">
        <f t="shared" si="0"/>
        <v>100</v>
      </c>
      <c r="AD27" s="166">
        <f t="shared" si="1"/>
        <v>-70</v>
      </c>
      <c r="AE27" s="160">
        <v>133</v>
      </c>
      <c r="AF27" s="167">
        <f t="shared" si="2"/>
        <v>0.98527568922305764</v>
      </c>
      <c r="AG27" s="168">
        <f t="shared" si="3"/>
        <v>144.58333333333334</v>
      </c>
      <c r="AH27" s="167">
        <f t="shared" si="4"/>
        <v>0.87752161383285299</v>
      </c>
      <c r="AI27" s="169">
        <f t="shared" si="18"/>
        <v>1</v>
      </c>
      <c r="AJ27" s="170">
        <f t="shared" si="6"/>
        <v>0.89655172413793105</v>
      </c>
      <c r="AK27" s="235">
        <v>9.3620000000000001</v>
      </c>
      <c r="AL27" s="239">
        <v>148.86000000000001</v>
      </c>
      <c r="AM27" s="275">
        <f t="shared" si="7"/>
        <v>1393.6273200000001</v>
      </c>
      <c r="AN27" s="235">
        <v>25.188880000000001</v>
      </c>
      <c r="AO27" s="330">
        <v>977.93550169757441</v>
      </c>
      <c r="AP27" s="172">
        <f t="shared" si="8"/>
        <v>24633.1</v>
      </c>
      <c r="AQ27" s="202">
        <f t="shared" si="9"/>
        <v>8547.3652939244657</v>
      </c>
      <c r="AR27" s="199">
        <f>IF(S27&gt;0,(S27/24), "no data")</f>
        <v>129.79166666666666</v>
      </c>
      <c r="AS27" s="13"/>
      <c r="AT27" s="159">
        <v>0</v>
      </c>
      <c r="AU27" s="174">
        <v>0</v>
      </c>
      <c r="AV27" s="159">
        <v>0</v>
      </c>
      <c r="AW27" s="159">
        <v>0</v>
      </c>
      <c r="AX27" s="174">
        <v>15</v>
      </c>
      <c r="AY27" s="159">
        <v>1440</v>
      </c>
      <c r="AZ27" s="159">
        <v>0</v>
      </c>
      <c r="BA27" s="332">
        <f t="shared" si="17"/>
        <v>46</v>
      </c>
      <c r="BB27" s="175">
        <v>1040</v>
      </c>
      <c r="BC27" s="175">
        <v>1086</v>
      </c>
      <c r="BD27" s="175">
        <v>1019</v>
      </c>
      <c r="BE27" s="175">
        <f t="shared" si="11"/>
        <v>46</v>
      </c>
      <c r="BF27" s="175">
        <f t="shared" si="12"/>
        <v>8547.3652939244657</v>
      </c>
      <c r="BG27" s="177">
        <f t="shared" si="13"/>
        <v>42.458333333333336</v>
      </c>
      <c r="BH27" s="191">
        <v>0</v>
      </c>
      <c r="BI27" s="155">
        <v>0</v>
      </c>
      <c r="BJ27" s="181">
        <v>27</v>
      </c>
      <c r="BK27" s="192">
        <v>26.83</v>
      </c>
      <c r="BL27" s="192">
        <v>21.9</v>
      </c>
      <c r="BM27" s="192">
        <v>26.84</v>
      </c>
      <c r="BN27" s="195">
        <v>984.5</v>
      </c>
      <c r="BO27" s="192">
        <v>50.13</v>
      </c>
      <c r="BP27" s="193">
        <v>0.94010000000000005</v>
      </c>
      <c r="BQ27" s="194">
        <v>95.09</v>
      </c>
      <c r="BR27" s="194">
        <v>86.51</v>
      </c>
      <c r="BS27" s="194">
        <v>12107</v>
      </c>
      <c r="BT27" s="194">
        <v>11608</v>
      </c>
      <c r="BU27" s="51">
        <f t="shared" si="14"/>
        <v>-499</v>
      </c>
      <c r="BV27" s="175">
        <f t="shared" si="15"/>
        <v>0</v>
      </c>
      <c r="BW27" s="177">
        <v>0</v>
      </c>
      <c r="BX27" s="177">
        <v>0</v>
      </c>
      <c r="BZ27" s="177">
        <v>24</v>
      </c>
      <c r="CA27" s="177">
        <v>6.42</v>
      </c>
      <c r="CC27" s="177">
        <v>2.1</v>
      </c>
      <c r="CD27" s="177">
        <v>4.2</v>
      </c>
      <c r="CE27" s="177">
        <v>2</v>
      </c>
      <c r="CF27" s="177">
        <v>0</v>
      </c>
    </row>
    <row r="28" spans="1:84">
      <c r="A28" s="452"/>
      <c r="B28" s="24">
        <v>43243</v>
      </c>
      <c r="C28" s="157">
        <v>92.9</v>
      </c>
      <c r="D28" s="197">
        <v>0.33600000000000002</v>
      </c>
      <c r="E28" s="171">
        <v>63.9</v>
      </c>
      <c r="F28" s="160">
        <v>106</v>
      </c>
      <c r="G28" s="160">
        <v>78</v>
      </c>
      <c r="H28" s="160">
        <v>19</v>
      </c>
      <c r="I28" s="160">
        <v>29</v>
      </c>
      <c r="J28" s="160">
        <v>20</v>
      </c>
      <c r="K28" s="160">
        <v>1</v>
      </c>
      <c r="L28" s="188">
        <v>0</v>
      </c>
      <c r="M28" s="188">
        <v>0</v>
      </c>
      <c r="N28" s="188">
        <v>0</v>
      </c>
      <c r="O28" s="188">
        <v>0</v>
      </c>
      <c r="P28" s="188">
        <v>0</v>
      </c>
      <c r="Q28" s="262">
        <v>0</v>
      </c>
      <c r="R28" s="257">
        <v>3463</v>
      </c>
      <c r="S28" s="159">
        <v>3119</v>
      </c>
      <c r="T28" s="160">
        <v>3119</v>
      </c>
      <c r="U28" s="160">
        <v>2543</v>
      </c>
      <c r="V28" s="160">
        <v>2629</v>
      </c>
      <c r="W28" s="160">
        <v>43</v>
      </c>
      <c r="X28" s="160">
        <v>251</v>
      </c>
      <c r="Y28" s="160">
        <v>45</v>
      </c>
      <c r="Z28" s="258">
        <v>170</v>
      </c>
      <c r="AA28" s="188">
        <v>57</v>
      </c>
      <c r="AB28" s="188">
        <v>232</v>
      </c>
      <c r="AC28" s="165">
        <f t="shared" si="0"/>
        <v>89</v>
      </c>
      <c r="AD28" s="166">
        <f>U28-T28</f>
        <v>-576</v>
      </c>
      <c r="AE28" s="160">
        <v>133</v>
      </c>
      <c r="AF28" s="167">
        <f t="shared" si="2"/>
        <v>0.82362155388471181</v>
      </c>
      <c r="AG28" s="168">
        <f t="shared" si="3"/>
        <v>144.29166666666666</v>
      </c>
      <c r="AH28" s="167">
        <f t="shared" si="4"/>
        <v>0.73433439214553853</v>
      </c>
      <c r="AI28" s="169">
        <f t="shared" si="18"/>
        <v>0.8483381226053639</v>
      </c>
      <c r="AJ28" s="170">
        <f t="shared" si="6"/>
        <v>0.75585727969348648</v>
      </c>
      <c r="AK28" s="235">
        <v>7.8319999999999999</v>
      </c>
      <c r="AL28" s="239">
        <v>147.68</v>
      </c>
      <c r="AM28" s="275">
        <f t="shared" si="7"/>
        <v>1156.62976</v>
      </c>
      <c r="AN28" s="235">
        <v>21.384558999999999</v>
      </c>
      <c r="AO28" s="317">
        <v>973.85</v>
      </c>
      <c r="AP28" s="172">
        <f t="shared" si="8"/>
        <v>20825.352782149999</v>
      </c>
      <c r="AQ28" s="202">
        <f t="shared" si="9"/>
        <v>8644.1142517302378</v>
      </c>
      <c r="AR28" s="199">
        <f t="shared" si="19"/>
        <v>129.95833333333334</v>
      </c>
      <c r="AS28" s="13"/>
      <c r="AT28" s="159">
        <v>19</v>
      </c>
      <c r="AU28" s="174">
        <v>20</v>
      </c>
      <c r="AV28" s="174">
        <v>15</v>
      </c>
      <c r="AW28" s="159">
        <v>54</v>
      </c>
      <c r="AX28" s="174">
        <v>15</v>
      </c>
      <c r="AY28" s="159">
        <v>1208</v>
      </c>
      <c r="AZ28" s="159">
        <v>3</v>
      </c>
      <c r="BA28" s="332">
        <f t="shared" si="17"/>
        <v>92</v>
      </c>
      <c r="BB28" s="175">
        <v>850</v>
      </c>
      <c r="BC28" s="175">
        <v>942</v>
      </c>
      <c r="BD28" s="175">
        <v>837</v>
      </c>
      <c r="BE28" s="175">
        <f t="shared" si="11"/>
        <v>92</v>
      </c>
      <c r="BF28" s="175">
        <f t="shared" si="12"/>
        <v>8644.1142517302378</v>
      </c>
      <c r="BG28" s="177">
        <f t="shared" si="13"/>
        <v>34.875</v>
      </c>
      <c r="BH28" s="191">
        <v>0</v>
      </c>
      <c r="BI28" s="191">
        <v>0</v>
      </c>
      <c r="BJ28" s="181">
        <v>27</v>
      </c>
      <c r="BK28" s="192">
        <v>22.19</v>
      </c>
      <c r="BL28" s="192">
        <v>19.41</v>
      </c>
      <c r="BM28" s="192">
        <v>23.49</v>
      </c>
      <c r="BN28" s="195">
        <v>983</v>
      </c>
      <c r="BO28" s="181">
        <v>50.09</v>
      </c>
      <c r="BP28" s="193">
        <v>0.94069999999999998</v>
      </c>
      <c r="BQ28" s="194">
        <v>95.01</v>
      </c>
      <c r="BR28" s="194">
        <v>86.5</v>
      </c>
      <c r="BS28" s="194">
        <v>12178</v>
      </c>
      <c r="BT28" s="194">
        <v>11649</v>
      </c>
      <c r="BU28" s="51">
        <f t="shared" si="14"/>
        <v>-529</v>
      </c>
      <c r="BV28" s="175">
        <v>0</v>
      </c>
      <c r="BW28" s="177">
        <v>0</v>
      </c>
      <c r="BX28" s="177">
        <v>0</v>
      </c>
      <c r="BZ28" s="177">
        <v>18.61</v>
      </c>
      <c r="CA28" s="177">
        <v>7</v>
      </c>
      <c r="CC28" s="177">
        <v>2.1</v>
      </c>
      <c r="CD28" s="177">
        <v>4.0999999999999996</v>
      </c>
      <c r="CE28" s="177">
        <v>2</v>
      </c>
      <c r="CF28" s="177">
        <v>0</v>
      </c>
    </row>
    <row r="29" spans="1:84">
      <c r="A29" s="452"/>
      <c r="B29" s="24">
        <v>43244</v>
      </c>
      <c r="C29" s="157">
        <v>94.9</v>
      </c>
      <c r="D29" s="197">
        <v>0.317</v>
      </c>
      <c r="E29" s="171">
        <v>64.040000000000006</v>
      </c>
      <c r="F29" s="160">
        <v>107</v>
      </c>
      <c r="G29" s="160">
        <v>81</v>
      </c>
      <c r="H29" s="160">
        <v>24</v>
      </c>
      <c r="I29" s="160">
        <v>0</v>
      </c>
      <c r="J29" s="160">
        <v>24</v>
      </c>
      <c r="K29" s="160">
        <v>0</v>
      </c>
      <c r="L29" s="188">
        <v>0</v>
      </c>
      <c r="M29" s="188">
        <v>0</v>
      </c>
      <c r="N29" s="188">
        <v>0</v>
      </c>
      <c r="O29" s="188">
        <v>0</v>
      </c>
      <c r="P29" s="188">
        <v>0</v>
      </c>
      <c r="Q29" s="262">
        <v>0</v>
      </c>
      <c r="R29" s="259">
        <v>3449</v>
      </c>
      <c r="S29" s="159">
        <v>3113</v>
      </c>
      <c r="T29" s="160">
        <v>3113</v>
      </c>
      <c r="U29" s="160">
        <v>3040</v>
      </c>
      <c r="V29" s="160">
        <v>3141</v>
      </c>
      <c r="W29" s="160">
        <v>43</v>
      </c>
      <c r="X29" s="160">
        <v>0</v>
      </c>
      <c r="Y29" s="160">
        <v>45</v>
      </c>
      <c r="Z29" s="188">
        <v>0</v>
      </c>
      <c r="AA29" s="188">
        <v>57</v>
      </c>
      <c r="AB29" s="188">
        <v>0</v>
      </c>
      <c r="AC29" s="165">
        <f t="shared" si="0"/>
        <v>101</v>
      </c>
      <c r="AD29" s="166">
        <f t="shared" si="1"/>
        <v>-73</v>
      </c>
      <c r="AE29" s="160">
        <v>133</v>
      </c>
      <c r="AF29" s="167">
        <f t="shared" si="2"/>
        <v>0.98402255639097747</v>
      </c>
      <c r="AG29" s="168">
        <f t="shared" si="3"/>
        <v>143.70833333333334</v>
      </c>
      <c r="AH29" s="167">
        <f t="shared" si="4"/>
        <v>0.88141490287039725</v>
      </c>
      <c r="AI29" s="169">
        <f t="shared" si="18"/>
        <v>1</v>
      </c>
      <c r="AJ29" s="170">
        <f>IF(U29&gt;0,(1440-((X29*W29+AT29*AU29)+(Z29*Y29+AV29*AW29)+(AA29*AB29+AX29*AY29))/(W29+Y29+AA29))/1440,"no data")</f>
        <v>0.89655172413793105</v>
      </c>
      <c r="AK29" s="235">
        <v>9.3219999999999992</v>
      </c>
      <c r="AL29" s="239">
        <v>154.03</v>
      </c>
      <c r="AM29" s="275">
        <f t="shared" si="7"/>
        <v>1435.8676599999999</v>
      </c>
      <c r="AN29" s="235">
        <v>25.077870000000001</v>
      </c>
      <c r="AO29" s="317">
        <v>978.24336755872798</v>
      </c>
      <c r="AP29" s="172">
        <f t="shared" si="8"/>
        <v>24532.26</v>
      </c>
      <c r="AQ29" s="202">
        <f t="shared" si="9"/>
        <v>8542.1472565789481</v>
      </c>
      <c r="AR29" s="199">
        <f t="shared" si="19"/>
        <v>129.70833333333334</v>
      </c>
      <c r="AS29" s="13"/>
      <c r="AT29" s="159">
        <v>0</v>
      </c>
      <c r="AU29" s="174">
        <v>0</v>
      </c>
      <c r="AV29" s="174">
        <v>0</v>
      </c>
      <c r="AW29" s="159">
        <v>0</v>
      </c>
      <c r="AX29" s="174">
        <v>15</v>
      </c>
      <c r="AY29" s="159">
        <v>1440</v>
      </c>
      <c r="AZ29" s="159">
        <v>0</v>
      </c>
      <c r="BA29" s="332">
        <f t="shared" si="17"/>
        <v>47</v>
      </c>
      <c r="BB29" s="175">
        <v>1037</v>
      </c>
      <c r="BC29" s="175">
        <v>1084</v>
      </c>
      <c r="BD29" s="175">
        <v>1020</v>
      </c>
      <c r="BE29" s="175">
        <f t="shared" si="11"/>
        <v>47</v>
      </c>
      <c r="BF29" s="175">
        <f t="shared" si="12"/>
        <v>8542.1472565789481</v>
      </c>
      <c r="BG29" s="177">
        <f t="shared" si="13"/>
        <v>42.5</v>
      </c>
      <c r="BH29" s="191">
        <v>0</v>
      </c>
      <c r="BI29" s="155">
        <v>0</v>
      </c>
      <c r="BJ29" s="260">
        <v>27</v>
      </c>
      <c r="BK29" s="181">
        <v>26.83</v>
      </c>
      <c r="BL29" s="192">
        <v>21.92</v>
      </c>
      <c r="BM29" s="195">
        <v>27.54</v>
      </c>
      <c r="BN29" s="192">
        <v>981.21</v>
      </c>
      <c r="BO29" s="192">
        <v>50.08</v>
      </c>
      <c r="BP29" s="193">
        <v>0.93969999999999998</v>
      </c>
      <c r="BQ29" s="194">
        <v>95.29</v>
      </c>
      <c r="BR29" s="181">
        <v>86.51</v>
      </c>
      <c r="BS29" s="194">
        <v>12158</v>
      </c>
      <c r="BT29" s="175">
        <v>11681</v>
      </c>
      <c r="BU29" s="51">
        <f t="shared" si="14"/>
        <v>-477</v>
      </c>
      <c r="BV29" s="175">
        <v>0</v>
      </c>
      <c r="BW29" s="177">
        <v>0</v>
      </c>
      <c r="BX29" s="177">
        <v>0</v>
      </c>
      <c r="BZ29" s="177">
        <v>24</v>
      </c>
      <c r="CA29" s="177">
        <v>6.22</v>
      </c>
      <c r="CC29" s="177">
        <v>2.2000000000000002</v>
      </c>
      <c r="CD29" s="177">
        <v>4.2</v>
      </c>
      <c r="CE29" s="177">
        <v>2.1</v>
      </c>
      <c r="CF29" s="177">
        <v>0</v>
      </c>
    </row>
    <row r="30" spans="1:84">
      <c r="A30" s="452"/>
      <c r="B30" s="24">
        <v>43245</v>
      </c>
      <c r="C30" s="157">
        <v>95.6</v>
      </c>
      <c r="D30" s="197">
        <v>0.307</v>
      </c>
      <c r="E30" s="171">
        <v>64.099999999999994</v>
      </c>
      <c r="F30" s="160">
        <v>110</v>
      </c>
      <c r="G30" s="160">
        <v>78</v>
      </c>
      <c r="H30" s="160">
        <v>24</v>
      </c>
      <c r="I30" s="160">
        <v>0</v>
      </c>
      <c r="J30" s="160">
        <v>24</v>
      </c>
      <c r="K30" s="160">
        <v>0</v>
      </c>
      <c r="L30" s="187">
        <v>0</v>
      </c>
      <c r="M30" s="187">
        <v>0</v>
      </c>
      <c r="N30" s="187">
        <v>0</v>
      </c>
      <c r="O30" s="187">
        <v>0</v>
      </c>
      <c r="P30" s="187">
        <v>0</v>
      </c>
      <c r="Q30" s="262">
        <v>0</v>
      </c>
      <c r="R30" s="257">
        <v>3439</v>
      </c>
      <c r="S30" s="262">
        <v>3104</v>
      </c>
      <c r="T30" s="160">
        <v>3104</v>
      </c>
      <c r="U30" s="160">
        <v>3032</v>
      </c>
      <c r="V30" s="160">
        <v>3130</v>
      </c>
      <c r="W30" s="160">
        <v>43</v>
      </c>
      <c r="X30" s="160">
        <v>0</v>
      </c>
      <c r="Y30" s="160">
        <v>45</v>
      </c>
      <c r="Z30" s="187">
        <v>0</v>
      </c>
      <c r="AA30" s="187">
        <v>57</v>
      </c>
      <c r="AB30" s="187">
        <v>0</v>
      </c>
      <c r="AC30" s="165">
        <f t="shared" si="0"/>
        <v>98</v>
      </c>
      <c r="AD30" s="166">
        <f t="shared" si="1"/>
        <v>-72</v>
      </c>
      <c r="AE30" s="160">
        <v>133</v>
      </c>
      <c r="AF30" s="167">
        <f t="shared" si="2"/>
        <v>0.98057644110275688</v>
      </c>
      <c r="AG30" s="168">
        <f t="shared" si="3"/>
        <v>143.29166666666666</v>
      </c>
      <c r="AH30" s="167">
        <f t="shared" si="4"/>
        <v>0.8816516429194533</v>
      </c>
      <c r="AI30" s="169">
        <f t="shared" si="18"/>
        <v>1</v>
      </c>
      <c r="AJ30" s="170">
        <f t="shared" si="6"/>
        <v>0.89655172413793105</v>
      </c>
      <c r="AK30" s="235">
        <v>9.3130000000000006</v>
      </c>
      <c r="AL30" s="239">
        <v>151.5</v>
      </c>
      <c r="AM30" s="171">
        <f t="shared" si="7"/>
        <v>1410.9195000000002</v>
      </c>
      <c r="AN30" s="235">
        <v>25.17783</v>
      </c>
      <c r="AO30" s="317">
        <v>972.18386175456737</v>
      </c>
      <c r="AP30" s="172">
        <f t="shared" si="8"/>
        <v>24477.48</v>
      </c>
      <c r="AQ30" s="202">
        <f t="shared" si="9"/>
        <v>8538.3903364116086</v>
      </c>
      <c r="AR30" s="199">
        <f t="shared" si="19"/>
        <v>129.33333333333334</v>
      </c>
      <c r="AS30" s="13"/>
      <c r="AT30" s="159">
        <v>0</v>
      </c>
      <c r="AU30" s="174">
        <v>0</v>
      </c>
      <c r="AV30" s="174">
        <v>0</v>
      </c>
      <c r="AW30" s="159">
        <v>0</v>
      </c>
      <c r="AX30" s="174">
        <v>15</v>
      </c>
      <c r="AY30" s="159">
        <v>1440</v>
      </c>
      <c r="AZ30" s="159">
        <v>0</v>
      </c>
      <c r="BA30" s="332">
        <f t="shared" si="17"/>
        <v>44</v>
      </c>
      <c r="BB30" s="175">
        <v>1034</v>
      </c>
      <c r="BC30" s="175">
        <v>1078</v>
      </c>
      <c r="BD30" s="175">
        <v>1018</v>
      </c>
      <c r="BE30" s="175">
        <f t="shared" si="11"/>
        <v>44</v>
      </c>
      <c r="BF30" s="175">
        <f t="shared" si="12"/>
        <v>8538.3903364116086</v>
      </c>
      <c r="BG30" s="177">
        <f t="shared" si="13"/>
        <v>42.416666666666664</v>
      </c>
      <c r="BH30" s="191">
        <v>0</v>
      </c>
      <c r="BI30" s="155">
        <v>0</v>
      </c>
      <c r="BJ30" s="181">
        <v>27</v>
      </c>
      <c r="BK30" s="192">
        <v>26.91</v>
      </c>
      <c r="BL30" s="192">
        <v>22.04</v>
      </c>
      <c r="BM30" s="192">
        <v>26.7</v>
      </c>
      <c r="BN30" s="192">
        <v>980.58</v>
      </c>
      <c r="BO30" s="181">
        <v>50.08</v>
      </c>
      <c r="BP30" s="193">
        <v>0.94089999999999996</v>
      </c>
      <c r="BQ30" s="194">
        <v>94.94</v>
      </c>
      <c r="BR30" s="181">
        <v>86.54</v>
      </c>
      <c r="BS30" s="194">
        <v>12233</v>
      </c>
      <c r="BT30" s="175">
        <v>11724</v>
      </c>
      <c r="BU30" s="51">
        <f t="shared" si="14"/>
        <v>-509</v>
      </c>
      <c r="BV30" s="175">
        <v>0</v>
      </c>
      <c r="BW30" s="177">
        <v>0</v>
      </c>
      <c r="BX30" s="177">
        <v>0</v>
      </c>
      <c r="BZ30" s="177">
        <v>24</v>
      </c>
      <c r="CA30" s="177">
        <v>9</v>
      </c>
      <c r="CC30" s="177">
        <v>2.1</v>
      </c>
      <c r="CD30" s="177">
        <v>4.0999999999999996</v>
      </c>
      <c r="CE30" s="177">
        <v>2</v>
      </c>
      <c r="CF30" s="177">
        <v>0</v>
      </c>
    </row>
    <row r="31" spans="1:84">
      <c r="A31" s="452"/>
      <c r="B31" s="24">
        <v>43246</v>
      </c>
      <c r="C31" s="157">
        <v>95.1</v>
      </c>
      <c r="D31" s="197">
        <v>0.34499999999999997</v>
      </c>
      <c r="E31" s="171">
        <v>65.400000000000006</v>
      </c>
      <c r="F31" s="159">
        <v>107</v>
      </c>
      <c r="G31" s="159">
        <v>82</v>
      </c>
      <c r="H31" s="160">
        <v>24</v>
      </c>
      <c r="I31" s="160">
        <v>0</v>
      </c>
      <c r="J31" s="160">
        <v>24</v>
      </c>
      <c r="K31" s="160">
        <v>0</v>
      </c>
      <c r="L31" s="187">
        <v>0</v>
      </c>
      <c r="M31" s="187">
        <v>0</v>
      </c>
      <c r="N31" s="187">
        <v>0</v>
      </c>
      <c r="O31" s="187">
        <v>0</v>
      </c>
      <c r="P31" s="187">
        <v>0</v>
      </c>
      <c r="Q31" s="262">
        <v>0</v>
      </c>
      <c r="R31" s="259">
        <v>3449</v>
      </c>
      <c r="S31" s="262">
        <v>3092</v>
      </c>
      <c r="T31" s="159">
        <v>3092</v>
      </c>
      <c r="U31" s="159">
        <v>3023</v>
      </c>
      <c r="V31" s="160">
        <v>3121</v>
      </c>
      <c r="W31" s="160">
        <v>43</v>
      </c>
      <c r="X31" s="160">
        <v>0</v>
      </c>
      <c r="Y31" s="160">
        <v>45</v>
      </c>
      <c r="Z31" s="187">
        <v>0</v>
      </c>
      <c r="AA31" s="187">
        <v>57</v>
      </c>
      <c r="AB31" s="187">
        <v>0</v>
      </c>
      <c r="AC31" s="165">
        <f t="shared" si="0"/>
        <v>98</v>
      </c>
      <c r="AD31" s="166">
        <f t="shared" si="1"/>
        <v>-69</v>
      </c>
      <c r="AE31" s="160">
        <v>133</v>
      </c>
      <c r="AF31" s="167">
        <f t="shared" si="2"/>
        <v>0.97775689223057649</v>
      </c>
      <c r="AG31" s="168">
        <f t="shared" si="3"/>
        <v>143.70833333333334</v>
      </c>
      <c r="AH31" s="167">
        <f t="shared" si="4"/>
        <v>0.87648593795302987</v>
      </c>
      <c r="AI31" s="169">
        <f t="shared" si="18"/>
        <v>1</v>
      </c>
      <c r="AJ31" s="170">
        <f t="shared" si="6"/>
        <v>0.89655172413793105</v>
      </c>
      <c r="AK31" s="235">
        <v>9.375</v>
      </c>
      <c r="AL31" s="239">
        <v>151.68</v>
      </c>
      <c r="AM31" s="171">
        <f t="shared" si="7"/>
        <v>1422</v>
      </c>
      <c r="AN31" s="235">
        <v>25.06972</v>
      </c>
      <c r="AO31" s="317">
        <v>975.69777404773572</v>
      </c>
      <c r="AP31" s="172">
        <f t="shared" si="8"/>
        <v>24460.47</v>
      </c>
      <c r="AQ31" s="202">
        <f t="shared" si="9"/>
        <v>8561.8491564670858</v>
      </c>
      <c r="AR31" s="199">
        <f t="shared" si="19"/>
        <v>128.83333333333334</v>
      </c>
      <c r="AS31" s="13"/>
      <c r="AT31" s="159">
        <v>0</v>
      </c>
      <c r="AU31" s="174">
        <v>0</v>
      </c>
      <c r="AV31" s="159">
        <v>0</v>
      </c>
      <c r="AW31" s="159">
        <v>0</v>
      </c>
      <c r="AX31" s="174">
        <v>15</v>
      </c>
      <c r="AY31" s="159">
        <v>1440</v>
      </c>
      <c r="AZ31" s="159">
        <v>0</v>
      </c>
      <c r="BA31" s="332">
        <f t="shared" si="17"/>
        <v>50</v>
      </c>
      <c r="BB31" s="175">
        <v>1027</v>
      </c>
      <c r="BC31" s="175">
        <v>1077</v>
      </c>
      <c r="BD31" s="175">
        <v>1017</v>
      </c>
      <c r="BE31" s="175">
        <f t="shared" si="11"/>
        <v>50</v>
      </c>
      <c r="BF31" s="175">
        <f t="shared" si="12"/>
        <v>8561.8491564670858</v>
      </c>
      <c r="BG31" s="177">
        <f t="shared" si="13"/>
        <v>42.375</v>
      </c>
      <c r="BH31" s="191">
        <v>0</v>
      </c>
      <c r="BI31" s="155">
        <v>0</v>
      </c>
      <c r="BJ31" s="181">
        <v>27</v>
      </c>
      <c r="BK31" s="192">
        <v>26.74</v>
      </c>
      <c r="BL31" s="192">
        <v>21.95</v>
      </c>
      <c r="BM31" s="192">
        <v>26.24</v>
      </c>
      <c r="BN31" s="192">
        <v>978.29</v>
      </c>
      <c r="BO31" s="192">
        <v>50.06</v>
      </c>
      <c r="BP31" s="193">
        <v>0.93959999999999999</v>
      </c>
      <c r="BQ31" s="192">
        <v>95.32</v>
      </c>
      <c r="BR31" s="181">
        <v>86.49</v>
      </c>
      <c r="BS31" s="175">
        <v>12225</v>
      </c>
      <c r="BT31" s="175">
        <v>11681</v>
      </c>
      <c r="BU31" s="51">
        <f t="shared" si="14"/>
        <v>-544</v>
      </c>
      <c r="BV31" s="175">
        <v>0</v>
      </c>
      <c r="BW31" s="177">
        <v>0</v>
      </c>
      <c r="BX31" s="177">
        <v>0</v>
      </c>
      <c r="BZ31" s="177">
        <v>24</v>
      </c>
      <c r="CA31" s="177">
        <v>6.88</v>
      </c>
      <c r="CC31" s="177">
        <v>2.1</v>
      </c>
      <c r="CD31" s="177">
        <v>4.2</v>
      </c>
      <c r="CE31" s="177">
        <v>2.1</v>
      </c>
      <c r="CF31" s="177">
        <v>0</v>
      </c>
    </row>
    <row r="32" spans="1:84">
      <c r="A32" s="453"/>
      <c r="B32" s="24">
        <v>43247</v>
      </c>
      <c r="C32" s="157">
        <v>96.4</v>
      </c>
      <c r="D32" s="197">
        <v>0.30470000000000003</v>
      </c>
      <c r="E32" s="171">
        <v>65.08</v>
      </c>
      <c r="F32" s="159">
        <v>111</v>
      </c>
      <c r="G32" s="159">
        <v>82</v>
      </c>
      <c r="H32" s="160">
        <v>24</v>
      </c>
      <c r="I32" s="160">
        <v>0</v>
      </c>
      <c r="J32" s="160">
        <v>24</v>
      </c>
      <c r="K32" s="160">
        <v>0</v>
      </c>
      <c r="L32" s="187">
        <v>0</v>
      </c>
      <c r="M32" s="187">
        <v>0</v>
      </c>
      <c r="N32" s="187">
        <v>0</v>
      </c>
      <c r="O32" s="187">
        <v>0</v>
      </c>
      <c r="P32" s="187">
        <v>0</v>
      </c>
      <c r="Q32" s="262">
        <v>0</v>
      </c>
      <c r="R32" s="257">
        <v>3427</v>
      </c>
      <c r="S32" s="262">
        <v>3089</v>
      </c>
      <c r="T32" s="262">
        <v>3089</v>
      </c>
      <c r="U32" s="262">
        <v>3020</v>
      </c>
      <c r="V32" s="263">
        <v>3115</v>
      </c>
      <c r="W32" s="160">
        <v>43</v>
      </c>
      <c r="X32" s="160">
        <v>0</v>
      </c>
      <c r="Y32" s="160">
        <v>45</v>
      </c>
      <c r="Z32" s="187">
        <v>0</v>
      </c>
      <c r="AA32" s="187">
        <v>57</v>
      </c>
      <c r="AB32" s="187">
        <v>0</v>
      </c>
      <c r="AC32" s="165">
        <f t="shared" si="0"/>
        <v>95</v>
      </c>
      <c r="AD32" s="166">
        <f t="shared" si="1"/>
        <v>-69</v>
      </c>
      <c r="AE32" s="159">
        <v>133</v>
      </c>
      <c r="AF32" s="167">
        <f t="shared" si="2"/>
        <v>0.97587719298245612</v>
      </c>
      <c r="AG32" s="168">
        <f t="shared" si="3"/>
        <v>142.79166666666666</v>
      </c>
      <c r="AH32" s="167">
        <f t="shared" si="4"/>
        <v>0.88123723373212726</v>
      </c>
      <c r="AI32" s="169">
        <f t="shared" si="18"/>
        <v>1</v>
      </c>
      <c r="AJ32" s="170">
        <f t="shared" si="6"/>
        <v>0.89655172413793105</v>
      </c>
      <c r="AK32" s="235">
        <v>9.327</v>
      </c>
      <c r="AL32" s="239">
        <v>150.86000000000001</v>
      </c>
      <c r="AM32" s="171">
        <f t="shared" si="7"/>
        <v>1407.07122</v>
      </c>
      <c r="AN32" s="235">
        <v>25.11299</v>
      </c>
      <c r="AO32" s="317">
        <v>971.0906586591243</v>
      </c>
      <c r="AP32" s="172">
        <f t="shared" si="8"/>
        <v>24386.99</v>
      </c>
      <c r="AQ32" s="202">
        <f t="shared" si="9"/>
        <v>8541.0798741721865</v>
      </c>
      <c r="AR32" s="199">
        <f t="shared" si="19"/>
        <v>128.70833333333334</v>
      </c>
      <c r="AS32" s="13"/>
      <c r="AT32" s="159">
        <v>0</v>
      </c>
      <c r="AU32" s="174">
        <v>0</v>
      </c>
      <c r="AV32" s="174">
        <v>0</v>
      </c>
      <c r="AW32" s="159">
        <v>0</v>
      </c>
      <c r="AX32" s="174">
        <v>15</v>
      </c>
      <c r="AY32" s="159">
        <v>1440</v>
      </c>
      <c r="AZ32" s="159">
        <v>0</v>
      </c>
      <c r="BA32" s="332">
        <f t="shared" si="17"/>
        <v>42</v>
      </c>
      <c r="BB32" s="175">
        <v>1029</v>
      </c>
      <c r="BC32" s="175">
        <v>1071</v>
      </c>
      <c r="BD32" s="175">
        <v>1015</v>
      </c>
      <c r="BE32" s="175">
        <f t="shared" si="11"/>
        <v>42</v>
      </c>
      <c r="BF32" s="175">
        <f t="shared" si="12"/>
        <v>8541.0798741721865</v>
      </c>
      <c r="BG32" s="177">
        <f t="shared" si="13"/>
        <v>42.291666666666664</v>
      </c>
      <c r="BH32" s="191">
        <v>0</v>
      </c>
      <c r="BI32" s="155">
        <v>0</v>
      </c>
      <c r="BJ32" s="181">
        <v>27</v>
      </c>
      <c r="BK32" s="192">
        <v>26.88</v>
      </c>
      <c r="BL32" s="192">
        <v>21.96</v>
      </c>
      <c r="BM32" s="192">
        <v>26.42</v>
      </c>
      <c r="BN32" s="179">
        <v>978.9</v>
      </c>
      <c r="BO32" s="192">
        <v>50.07</v>
      </c>
      <c r="BP32" s="193">
        <v>0.94020000000000004</v>
      </c>
      <c r="BQ32" s="192">
        <v>95.12</v>
      </c>
      <c r="BR32" s="181">
        <v>86.59</v>
      </c>
      <c r="BS32" s="175">
        <v>12277</v>
      </c>
      <c r="BT32" s="175">
        <v>11740</v>
      </c>
      <c r="BU32" s="51">
        <f t="shared" si="14"/>
        <v>-537</v>
      </c>
      <c r="BV32" s="175">
        <v>0</v>
      </c>
      <c r="BW32" s="177">
        <v>0</v>
      </c>
      <c r="BX32" s="177">
        <v>0</v>
      </c>
      <c r="BZ32" s="177">
        <v>24</v>
      </c>
      <c r="CA32" s="177">
        <v>7.05</v>
      </c>
      <c r="CC32" s="177">
        <v>2.1</v>
      </c>
      <c r="CD32" s="177">
        <v>4.2</v>
      </c>
      <c r="CE32" s="177">
        <v>2</v>
      </c>
      <c r="CF32" s="177">
        <v>0</v>
      </c>
    </row>
    <row r="33" spans="1:84" ht="15" customHeight="1">
      <c r="A33" s="451" t="s">
        <v>195</v>
      </c>
      <c r="B33" s="24">
        <v>43248</v>
      </c>
      <c r="C33" s="280">
        <v>97.22</v>
      </c>
      <c r="D33" s="281">
        <v>0.34150000000000003</v>
      </c>
      <c r="E33" s="282">
        <v>66.680000000000007</v>
      </c>
      <c r="F33" s="223">
        <v>108</v>
      </c>
      <c r="G33" s="223">
        <v>84</v>
      </c>
      <c r="H33" s="283">
        <v>24</v>
      </c>
      <c r="I33" s="283">
        <v>0</v>
      </c>
      <c r="J33" s="283">
        <v>24</v>
      </c>
      <c r="K33" s="283">
        <v>0</v>
      </c>
      <c r="L33" s="284">
        <v>0</v>
      </c>
      <c r="M33" s="284">
        <v>0</v>
      </c>
      <c r="N33" s="284">
        <v>0</v>
      </c>
      <c r="O33" s="284">
        <v>0</v>
      </c>
      <c r="P33" s="284">
        <v>0</v>
      </c>
      <c r="Q33" s="286">
        <v>0</v>
      </c>
      <c r="R33" s="285">
        <v>3422</v>
      </c>
      <c r="S33" s="286">
        <v>3068</v>
      </c>
      <c r="T33" s="286">
        <v>3068</v>
      </c>
      <c r="U33" s="286">
        <v>2995</v>
      </c>
      <c r="V33" s="287">
        <v>3100</v>
      </c>
      <c r="W33" s="283">
        <v>43</v>
      </c>
      <c r="X33" s="283">
        <v>0</v>
      </c>
      <c r="Y33" s="283">
        <v>45</v>
      </c>
      <c r="Z33" s="288">
        <v>0</v>
      </c>
      <c r="AA33" s="288">
        <v>57</v>
      </c>
      <c r="AB33" s="284">
        <v>0</v>
      </c>
      <c r="AC33" s="221">
        <f t="shared" si="0"/>
        <v>105</v>
      </c>
      <c r="AD33" s="222">
        <f t="shared" si="1"/>
        <v>-73</v>
      </c>
      <c r="AE33" s="223">
        <v>131</v>
      </c>
      <c r="AF33" s="224">
        <f t="shared" si="2"/>
        <v>0.98600508905852413</v>
      </c>
      <c r="AG33" s="225">
        <f t="shared" si="3"/>
        <v>142.58333333333334</v>
      </c>
      <c r="AH33" s="224">
        <f t="shared" si="4"/>
        <v>0.87521917007597894</v>
      </c>
      <c r="AI33" s="226">
        <f t="shared" si="18"/>
        <v>1</v>
      </c>
      <c r="AJ33" s="227">
        <f t="shared" si="6"/>
        <v>0.89655172413793105</v>
      </c>
      <c r="AK33" s="235">
        <v>9.3230000000000004</v>
      </c>
      <c r="AL33" s="239">
        <v>151.62</v>
      </c>
      <c r="AM33" s="282">
        <f t="shared" si="7"/>
        <v>1413.5532600000001</v>
      </c>
      <c r="AN33" s="235">
        <v>24.963660000000001</v>
      </c>
      <c r="AO33" s="317">
        <v>974.13720584241241</v>
      </c>
      <c r="AP33" s="290">
        <f t="shared" si="8"/>
        <v>24318.03</v>
      </c>
      <c r="AQ33" s="228">
        <f t="shared" si="9"/>
        <v>8591.5136093489145</v>
      </c>
      <c r="AR33" s="229">
        <f t="shared" si="19"/>
        <v>127.83333333333333</v>
      </c>
      <c r="AS33" s="291"/>
      <c r="AT33" s="223">
        <v>0</v>
      </c>
      <c r="AU33" s="292">
        <v>0</v>
      </c>
      <c r="AV33" s="292">
        <v>0</v>
      </c>
      <c r="AW33" s="223">
        <v>0</v>
      </c>
      <c r="AX33" s="292">
        <v>15</v>
      </c>
      <c r="AY33" s="223">
        <v>1440</v>
      </c>
      <c r="AZ33" s="223">
        <v>0</v>
      </c>
      <c r="BA33" s="293">
        <f t="shared" si="17"/>
        <v>51</v>
      </c>
      <c r="BB33" s="242">
        <v>1019</v>
      </c>
      <c r="BC33" s="242">
        <v>1070</v>
      </c>
      <c r="BD33" s="242">
        <v>1011</v>
      </c>
      <c r="BE33" s="242">
        <f t="shared" si="11"/>
        <v>51</v>
      </c>
      <c r="BF33" s="242">
        <f t="shared" si="12"/>
        <v>8591.5136093489145</v>
      </c>
      <c r="BG33" s="294">
        <f t="shared" si="13"/>
        <v>42.125</v>
      </c>
      <c r="BH33" s="295">
        <v>0</v>
      </c>
      <c r="BI33" s="296">
        <v>0</v>
      </c>
      <c r="BJ33" s="297">
        <v>27</v>
      </c>
      <c r="BK33" s="298">
        <v>26.66</v>
      </c>
      <c r="BL33" s="298">
        <v>21.85</v>
      </c>
      <c r="BM33" s="298">
        <v>26.14</v>
      </c>
      <c r="BN33" s="299">
        <v>977.2</v>
      </c>
      <c r="BO33" s="298">
        <v>50.08</v>
      </c>
      <c r="BP33" s="300">
        <v>0.94069999999999998</v>
      </c>
      <c r="BQ33" s="298">
        <v>95.09</v>
      </c>
      <c r="BR33" s="297">
        <v>86.57</v>
      </c>
      <c r="BS33" s="242">
        <v>12287</v>
      </c>
      <c r="BT33" s="242">
        <v>11717</v>
      </c>
      <c r="BU33" s="301">
        <f t="shared" si="14"/>
        <v>-570</v>
      </c>
      <c r="BV33" s="242">
        <v>0</v>
      </c>
      <c r="BW33" s="302">
        <v>0</v>
      </c>
      <c r="BX33" s="302">
        <v>0</v>
      </c>
      <c r="BZ33" s="302">
        <v>24</v>
      </c>
      <c r="CA33" s="302">
        <v>7.2</v>
      </c>
      <c r="CC33" s="302">
        <v>2.1</v>
      </c>
      <c r="CD33" s="302">
        <v>4.0999999999999996</v>
      </c>
      <c r="CE33" s="302">
        <v>2.1</v>
      </c>
      <c r="CF33" s="302">
        <v>0</v>
      </c>
    </row>
    <row r="34" spans="1:84">
      <c r="A34" s="452"/>
      <c r="B34" s="24">
        <v>43249</v>
      </c>
      <c r="C34" s="280">
        <v>96.22</v>
      </c>
      <c r="D34" s="281">
        <v>0.34799999999999998</v>
      </c>
      <c r="E34" s="282">
        <v>66.34</v>
      </c>
      <c r="F34" s="223">
        <v>108</v>
      </c>
      <c r="G34" s="223">
        <v>85</v>
      </c>
      <c r="H34" s="283">
        <v>24</v>
      </c>
      <c r="I34" s="283">
        <v>0</v>
      </c>
      <c r="J34" s="283">
        <v>24</v>
      </c>
      <c r="K34" s="283">
        <v>0</v>
      </c>
      <c r="L34" s="284">
        <v>0</v>
      </c>
      <c r="M34" s="284">
        <v>0</v>
      </c>
      <c r="N34" s="284">
        <v>0</v>
      </c>
      <c r="O34" s="284">
        <v>0</v>
      </c>
      <c r="P34" s="284">
        <v>0</v>
      </c>
      <c r="Q34" s="286">
        <v>0</v>
      </c>
      <c r="R34" s="285">
        <v>3432</v>
      </c>
      <c r="S34" s="286">
        <v>3066</v>
      </c>
      <c r="T34" s="286">
        <v>3066</v>
      </c>
      <c r="U34" s="286">
        <v>2997</v>
      </c>
      <c r="V34" s="287">
        <v>3095</v>
      </c>
      <c r="W34" s="283">
        <v>43</v>
      </c>
      <c r="X34" s="283">
        <v>0</v>
      </c>
      <c r="Y34" s="283">
        <v>45</v>
      </c>
      <c r="Z34" s="288">
        <v>0</v>
      </c>
      <c r="AA34" s="288">
        <v>57</v>
      </c>
      <c r="AB34" s="284">
        <v>0</v>
      </c>
      <c r="AC34" s="221">
        <f t="shared" si="0"/>
        <v>98</v>
      </c>
      <c r="AD34" s="222">
        <f t="shared" si="1"/>
        <v>-69</v>
      </c>
      <c r="AE34" s="223">
        <v>132</v>
      </c>
      <c r="AF34" s="224">
        <f t="shared" si="2"/>
        <v>0.97695707070707072</v>
      </c>
      <c r="AG34" s="225">
        <f t="shared" si="3"/>
        <v>143</v>
      </c>
      <c r="AH34" s="224">
        <f t="shared" si="4"/>
        <v>0.87325174825174823</v>
      </c>
      <c r="AI34" s="226">
        <f t="shared" si="18"/>
        <v>1</v>
      </c>
      <c r="AJ34" s="227">
        <f t="shared" si="6"/>
        <v>0.89655172413793105</v>
      </c>
      <c r="AK34" s="235">
        <v>9.32</v>
      </c>
      <c r="AL34" s="239">
        <v>151.25</v>
      </c>
      <c r="AM34" s="282">
        <f t="shared" si="7"/>
        <v>1409.65</v>
      </c>
      <c r="AN34" s="235">
        <v>24.869679999999999</v>
      </c>
      <c r="AO34" s="317">
        <v>973.0370475213191</v>
      </c>
      <c r="AP34" s="290">
        <f t="shared" si="8"/>
        <v>24199.119999999999</v>
      </c>
      <c r="AQ34" s="228">
        <f t="shared" si="9"/>
        <v>8544.8014681348013</v>
      </c>
      <c r="AR34" s="229">
        <f t="shared" si="19"/>
        <v>127.75</v>
      </c>
      <c r="AS34" s="291"/>
      <c r="AT34" s="223">
        <v>0</v>
      </c>
      <c r="AU34" s="292">
        <v>0</v>
      </c>
      <c r="AV34" s="292">
        <v>0</v>
      </c>
      <c r="AW34" s="223">
        <v>0</v>
      </c>
      <c r="AX34" s="292">
        <v>15</v>
      </c>
      <c r="AY34" s="223">
        <v>1440</v>
      </c>
      <c r="AZ34" s="223">
        <v>0</v>
      </c>
      <c r="BA34" s="293">
        <f t="shared" si="17"/>
        <v>48</v>
      </c>
      <c r="BB34" s="242">
        <v>1019</v>
      </c>
      <c r="BC34" s="242">
        <v>1067</v>
      </c>
      <c r="BD34" s="242">
        <v>1009</v>
      </c>
      <c r="BE34" s="242">
        <f t="shared" si="11"/>
        <v>48</v>
      </c>
      <c r="BF34" s="242">
        <f t="shared" si="12"/>
        <v>8544.8014681348013</v>
      </c>
      <c r="BG34" s="294">
        <f t="shared" si="13"/>
        <v>42.041666666666664</v>
      </c>
      <c r="BH34" s="295">
        <v>0</v>
      </c>
      <c r="BI34" s="296">
        <v>0</v>
      </c>
      <c r="BJ34" s="297">
        <v>27</v>
      </c>
      <c r="BK34" s="298">
        <v>26.58</v>
      </c>
      <c r="BL34" s="298">
        <v>21.79</v>
      </c>
      <c r="BM34" s="298">
        <v>26.2</v>
      </c>
      <c r="BN34" s="299">
        <v>972.75</v>
      </c>
      <c r="BO34" s="298">
        <v>50.05</v>
      </c>
      <c r="BP34" s="300">
        <v>0.94079999999999997</v>
      </c>
      <c r="BQ34" s="298">
        <v>95.3</v>
      </c>
      <c r="BR34" s="297">
        <v>86.62</v>
      </c>
      <c r="BS34" s="242">
        <v>12259</v>
      </c>
      <c r="BT34" s="242">
        <v>11718</v>
      </c>
      <c r="BU34" s="301">
        <f t="shared" si="14"/>
        <v>-541</v>
      </c>
      <c r="BV34" s="242">
        <v>0</v>
      </c>
      <c r="BW34" s="302">
        <v>0</v>
      </c>
      <c r="BX34" s="302">
        <v>0</v>
      </c>
      <c r="BZ34" s="302">
        <v>24</v>
      </c>
      <c r="CA34" s="302">
        <v>5.7</v>
      </c>
      <c r="CC34" s="302">
        <v>2.1</v>
      </c>
      <c r="CD34" s="302">
        <v>4.0999999999999996</v>
      </c>
      <c r="CE34" s="302">
        <v>2.1</v>
      </c>
      <c r="CF34" s="302">
        <v>0</v>
      </c>
    </row>
    <row r="35" spans="1:84">
      <c r="A35" s="452"/>
      <c r="B35" s="24">
        <v>43250</v>
      </c>
      <c r="C35" s="280">
        <v>97</v>
      </c>
      <c r="D35" s="281">
        <v>0.374</v>
      </c>
      <c r="E35" s="282">
        <v>70</v>
      </c>
      <c r="F35" s="223">
        <v>109</v>
      </c>
      <c r="G35" s="223">
        <v>85</v>
      </c>
      <c r="H35" s="283">
        <v>24</v>
      </c>
      <c r="I35" s="283">
        <v>0</v>
      </c>
      <c r="J35" s="283">
        <v>24</v>
      </c>
      <c r="K35" s="283">
        <v>0</v>
      </c>
      <c r="L35" s="284">
        <v>0</v>
      </c>
      <c r="M35" s="284">
        <v>0</v>
      </c>
      <c r="N35" s="284">
        <v>0</v>
      </c>
      <c r="O35" s="284">
        <v>0</v>
      </c>
      <c r="P35" s="284">
        <v>0</v>
      </c>
      <c r="Q35" s="286">
        <v>0</v>
      </c>
      <c r="R35" s="285">
        <v>3425</v>
      </c>
      <c r="S35" s="286">
        <v>3029</v>
      </c>
      <c r="T35" s="286">
        <v>3029</v>
      </c>
      <c r="U35" s="286">
        <v>2953</v>
      </c>
      <c r="V35" s="287">
        <v>3050</v>
      </c>
      <c r="W35" s="283">
        <v>42</v>
      </c>
      <c r="X35" s="283">
        <v>0</v>
      </c>
      <c r="Y35" s="283">
        <v>44</v>
      </c>
      <c r="Z35" s="288">
        <v>0</v>
      </c>
      <c r="AA35" s="288">
        <v>57</v>
      </c>
      <c r="AB35" s="284">
        <v>0</v>
      </c>
      <c r="AC35" s="221">
        <f t="shared" si="0"/>
        <v>97</v>
      </c>
      <c r="AD35" s="222">
        <f t="shared" si="1"/>
        <v>-76</v>
      </c>
      <c r="AE35" s="223">
        <v>130</v>
      </c>
      <c r="AF35" s="224">
        <f t="shared" si="2"/>
        <v>0.97756410256410253</v>
      </c>
      <c r="AG35" s="225">
        <f t="shared" si="3"/>
        <v>142.70833333333334</v>
      </c>
      <c r="AH35" s="224">
        <f t="shared" si="4"/>
        <v>0.86218978102189781</v>
      </c>
      <c r="AI35" s="226">
        <f t="shared" si="18"/>
        <v>1</v>
      </c>
      <c r="AJ35" s="227">
        <f t="shared" si="6"/>
        <v>0.8951048951048951</v>
      </c>
      <c r="AK35" s="235">
        <v>9.3450000000000006</v>
      </c>
      <c r="AL35" s="239">
        <v>149.97</v>
      </c>
      <c r="AM35" s="282">
        <f t="shared" si="7"/>
        <v>1401.46965</v>
      </c>
      <c r="AN35" s="235">
        <v>24.597860000000001</v>
      </c>
      <c r="AO35" s="317">
        <v>978.78555288956022</v>
      </c>
      <c r="AP35" s="290">
        <f t="shared" si="8"/>
        <v>24076.03</v>
      </c>
      <c r="AQ35" s="228">
        <f t="shared" si="9"/>
        <v>8627.6666610226894</v>
      </c>
      <c r="AR35" s="229">
        <f t="shared" si="19"/>
        <v>126.20833333333333</v>
      </c>
      <c r="AS35" s="291"/>
      <c r="AT35" s="223">
        <v>0</v>
      </c>
      <c r="AU35" s="292">
        <v>0</v>
      </c>
      <c r="AV35" s="292">
        <v>0</v>
      </c>
      <c r="AW35" s="223">
        <v>0</v>
      </c>
      <c r="AX35" s="292">
        <v>15</v>
      </c>
      <c r="AY35" s="223">
        <v>1440</v>
      </c>
      <c r="AZ35" s="223">
        <v>0</v>
      </c>
      <c r="BA35" s="293">
        <f t="shared" si="17"/>
        <v>42</v>
      </c>
      <c r="BB35" s="242">
        <v>1005</v>
      </c>
      <c r="BC35" s="242">
        <v>1047</v>
      </c>
      <c r="BD35" s="242">
        <v>998</v>
      </c>
      <c r="BE35" s="242">
        <f t="shared" si="11"/>
        <v>42</v>
      </c>
      <c r="BF35" s="242">
        <f t="shared" si="12"/>
        <v>8627.6666610226894</v>
      </c>
      <c r="BG35" s="294">
        <f t="shared" si="13"/>
        <v>41.583333333333336</v>
      </c>
      <c r="BH35" s="295">
        <v>0</v>
      </c>
      <c r="BI35" s="296">
        <v>0</v>
      </c>
      <c r="BJ35" s="297">
        <v>27</v>
      </c>
      <c r="BK35" s="298">
        <v>26.3</v>
      </c>
      <c r="BL35" s="298">
        <v>21.45</v>
      </c>
      <c r="BM35" s="298">
        <v>26.3</v>
      </c>
      <c r="BN35" s="299">
        <v>975.5</v>
      </c>
      <c r="BO35" s="298">
        <v>50.05</v>
      </c>
      <c r="BP35" s="300">
        <v>0.94040000000000001</v>
      </c>
      <c r="BQ35" s="298">
        <v>95.3</v>
      </c>
      <c r="BR35" s="297">
        <v>86.87</v>
      </c>
      <c r="BS35" s="242">
        <v>12288</v>
      </c>
      <c r="BT35" s="242">
        <v>11768</v>
      </c>
      <c r="BU35" s="301">
        <f t="shared" si="14"/>
        <v>-520</v>
      </c>
      <c r="BV35" s="242">
        <v>0</v>
      </c>
      <c r="BW35" s="302">
        <v>0</v>
      </c>
      <c r="BX35" s="302">
        <v>0</v>
      </c>
      <c r="BZ35" s="302">
        <v>23.8</v>
      </c>
      <c r="CA35" s="302">
        <v>7.2</v>
      </c>
      <c r="CC35" s="302">
        <v>2.2000000000000002</v>
      </c>
      <c r="CD35" s="302">
        <v>4.2</v>
      </c>
      <c r="CE35" s="302">
        <v>2</v>
      </c>
      <c r="CF35" s="302">
        <v>0</v>
      </c>
    </row>
    <row r="36" spans="1:84">
      <c r="A36" s="452"/>
      <c r="B36" s="24">
        <v>43251</v>
      </c>
      <c r="C36" s="280">
        <v>98</v>
      </c>
      <c r="D36" s="281">
        <v>0.39</v>
      </c>
      <c r="E36" s="282">
        <v>71</v>
      </c>
      <c r="F36" s="223">
        <v>109</v>
      </c>
      <c r="G36" s="223">
        <v>85</v>
      </c>
      <c r="H36" s="283">
        <v>15</v>
      </c>
      <c r="I36" s="283">
        <v>56</v>
      </c>
      <c r="J36" s="283">
        <v>17</v>
      </c>
      <c r="K36" s="283">
        <v>2</v>
      </c>
      <c r="L36" s="284">
        <v>0</v>
      </c>
      <c r="M36" s="284">
        <v>0</v>
      </c>
      <c r="N36" s="284">
        <v>0</v>
      </c>
      <c r="O36" s="284">
        <v>0</v>
      </c>
      <c r="P36" s="284">
        <v>0</v>
      </c>
      <c r="Q36" s="286">
        <v>0</v>
      </c>
      <c r="R36" s="285">
        <v>3413</v>
      </c>
      <c r="S36" s="286">
        <v>3019</v>
      </c>
      <c r="T36" s="286">
        <v>3019</v>
      </c>
      <c r="U36" s="286">
        <v>2086</v>
      </c>
      <c r="V36" s="287">
        <v>2163</v>
      </c>
      <c r="W36" s="283">
        <v>42</v>
      </c>
      <c r="X36" s="283">
        <v>465</v>
      </c>
      <c r="Y36" s="283">
        <v>44</v>
      </c>
      <c r="Z36" s="288">
        <v>307</v>
      </c>
      <c r="AA36" s="288">
        <v>57</v>
      </c>
      <c r="AB36" s="284">
        <v>417</v>
      </c>
      <c r="AC36" s="221">
        <f t="shared" si="0"/>
        <v>85</v>
      </c>
      <c r="AD36" s="222">
        <f t="shared" si="1"/>
        <v>-933</v>
      </c>
      <c r="AE36" s="223">
        <v>129</v>
      </c>
      <c r="AF36" s="224">
        <f t="shared" si="2"/>
        <v>0.6986434108527132</v>
      </c>
      <c r="AG36" s="225">
        <f t="shared" si="3"/>
        <v>142.20833333333334</v>
      </c>
      <c r="AH36" s="224">
        <f t="shared" si="4"/>
        <v>0.61119249926750663</v>
      </c>
      <c r="AI36" s="226">
        <f t="shared" si="18"/>
        <v>0.72413073038073039</v>
      </c>
      <c r="AJ36" s="227">
        <f t="shared" si="6"/>
        <v>0.61652583527583527</v>
      </c>
      <c r="AK36" s="235">
        <v>7.04</v>
      </c>
      <c r="AL36" s="239">
        <v>154.71</v>
      </c>
      <c r="AM36" s="282">
        <f t="shared" si="7"/>
        <v>1089.1584</v>
      </c>
      <c r="AN36" s="235">
        <v>17.767900000000001</v>
      </c>
      <c r="AO36" s="317">
        <v>980.37360000000001</v>
      </c>
      <c r="AP36" s="290">
        <f t="shared" si="8"/>
        <v>17419.18008744</v>
      </c>
      <c r="AQ36" s="228">
        <f t="shared" si="9"/>
        <v>8872.6454877468841</v>
      </c>
      <c r="AR36" s="229">
        <f t="shared" si="19"/>
        <v>125.79166666666667</v>
      </c>
      <c r="AS36" s="291"/>
      <c r="AT36" s="223">
        <v>22</v>
      </c>
      <c r="AU36" s="292">
        <v>19</v>
      </c>
      <c r="AV36" s="292">
        <v>16</v>
      </c>
      <c r="AW36" s="223">
        <v>80</v>
      </c>
      <c r="AX36" s="292">
        <v>20</v>
      </c>
      <c r="AY36" s="223">
        <v>1023</v>
      </c>
      <c r="AZ36" s="223">
        <v>8</v>
      </c>
      <c r="BA36" s="293">
        <f t="shared" si="17"/>
        <v>137</v>
      </c>
      <c r="BB36" s="242">
        <v>672</v>
      </c>
      <c r="BC36" s="242">
        <v>809</v>
      </c>
      <c r="BD36" s="242">
        <v>682</v>
      </c>
      <c r="BE36" s="242">
        <f t="shared" si="11"/>
        <v>137</v>
      </c>
      <c r="BF36" s="242">
        <f t="shared" si="12"/>
        <v>8872.6454877468841</v>
      </c>
      <c r="BG36" s="294">
        <f t="shared" si="13"/>
        <v>28.416666666666668</v>
      </c>
      <c r="BH36" s="295">
        <v>0</v>
      </c>
      <c r="BI36" s="296">
        <v>0</v>
      </c>
      <c r="BJ36" s="297">
        <v>27</v>
      </c>
      <c r="BK36" s="298">
        <v>17.8</v>
      </c>
      <c r="BL36" s="298">
        <v>16.88</v>
      </c>
      <c r="BM36" s="298">
        <v>20.25</v>
      </c>
      <c r="BN36" s="299">
        <v>976.9</v>
      </c>
      <c r="BO36" s="298">
        <v>50.05</v>
      </c>
      <c r="BP36" s="300">
        <v>0.93869999999999998</v>
      </c>
      <c r="BQ36" s="298">
        <v>96.15</v>
      </c>
      <c r="BR36" s="297">
        <v>86.9</v>
      </c>
      <c r="BS36" s="242">
        <v>12251</v>
      </c>
      <c r="BT36" s="242">
        <v>11700</v>
      </c>
      <c r="BU36" s="301">
        <f t="shared" si="14"/>
        <v>-551</v>
      </c>
      <c r="BV36" s="242">
        <v>0</v>
      </c>
      <c r="BW36" s="302">
        <v>0</v>
      </c>
      <c r="BX36" s="302">
        <v>0</v>
      </c>
      <c r="BZ36" s="302">
        <v>14.8</v>
      </c>
      <c r="CA36" s="302">
        <v>13.1</v>
      </c>
      <c r="CC36" s="302">
        <v>2.1</v>
      </c>
      <c r="CD36" s="302">
        <v>4.2</v>
      </c>
      <c r="CE36" s="302">
        <v>2.1</v>
      </c>
      <c r="CF36" s="302">
        <v>0</v>
      </c>
    </row>
    <row r="37" spans="1:84">
      <c r="A37" s="452"/>
      <c r="B37" s="24">
        <v>43252</v>
      </c>
      <c r="C37" s="280"/>
      <c r="D37" s="281"/>
      <c r="E37" s="282"/>
      <c r="F37" s="223"/>
      <c r="G37" s="223"/>
      <c r="H37" s="283"/>
      <c r="I37" s="283"/>
      <c r="J37" s="283"/>
      <c r="K37" s="283"/>
      <c r="L37" s="284"/>
      <c r="M37" s="284"/>
      <c r="N37" s="284"/>
      <c r="O37" s="284"/>
      <c r="P37" s="284"/>
      <c r="Q37" s="280"/>
      <c r="R37" s="285"/>
      <c r="S37" s="286"/>
      <c r="T37" s="286"/>
      <c r="U37" s="286"/>
      <c r="V37" s="287"/>
      <c r="W37" s="283"/>
      <c r="X37" s="283"/>
      <c r="Y37" s="283"/>
      <c r="Z37" s="288"/>
      <c r="AA37" s="288"/>
      <c r="AB37" s="284"/>
      <c r="AC37" s="221">
        <f t="shared" si="0"/>
        <v>0</v>
      </c>
      <c r="AD37" s="222">
        <f t="shared" si="1"/>
        <v>0</v>
      </c>
      <c r="AE37" s="223"/>
      <c r="AF37" s="224" t="str">
        <f t="shared" si="2"/>
        <v>no data</v>
      </c>
      <c r="AG37" s="225" t="str">
        <f t="shared" si="3"/>
        <v>no data</v>
      </c>
      <c r="AH37" s="224" t="str">
        <f t="shared" si="4"/>
        <v>no data</v>
      </c>
      <c r="AI37" s="226" t="str">
        <f t="shared" si="18"/>
        <v>no data</v>
      </c>
      <c r="AJ37" s="227" t="str">
        <f t="shared" si="6"/>
        <v>no data</v>
      </c>
      <c r="AK37" s="255"/>
      <c r="AL37" s="256"/>
      <c r="AM37" s="282">
        <f t="shared" si="7"/>
        <v>0</v>
      </c>
      <c r="AN37" s="255"/>
      <c r="AO37" s="289"/>
      <c r="AP37" s="290">
        <f t="shared" si="8"/>
        <v>0</v>
      </c>
      <c r="AQ37" s="228" t="str">
        <f t="shared" si="9"/>
        <v>no data</v>
      </c>
      <c r="AR37" s="229" t="str">
        <f t="shared" si="19"/>
        <v>no data</v>
      </c>
      <c r="AS37" s="291"/>
      <c r="AT37" s="223"/>
      <c r="AU37" s="292"/>
      <c r="AV37" s="292"/>
      <c r="AW37" s="223"/>
      <c r="AX37" s="292"/>
      <c r="AY37" s="223"/>
      <c r="AZ37" s="223"/>
      <c r="BA37" s="293"/>
      <c r="BB37" s="242"/>
      <c r="BC37" s="242"/>
      <c r="BD37" s="242"/>
      <c r="BE37" s="242">
        <f t="shared" si="11"/>
        <v>0</v>
      </c>
      <c r="BF37" s="242" t="str">
        <f t="shared" si="12"/>
        <v>no data</v>
      </c>
      <c r="BG37" s="294">
        <f t="shared" si="13"/>
        <v>0</v>
      </c>
      <c r="BH37" s="295"/>
      <c r="BI37" s="296"/>
      <c r="BJ37" s="297"/>
      <c r="BK37" s="298"/>
      <c r="BL37" s="298"/>
      <c r="BM37" s="298"/>
      <c r="BN37" s="299"/>
      <c r="BO37" s="298"/>
      <c r="BP37" s="300"/>
      <c r="BQ37" s="298"/>
      <c r="BR37" s="297"/>
      <c r="BS37" s="242"/>
      <c r="BT37" s="242"/>
      <c r="BU37" s="301">
        <f t="shared" si="14"/>
        <v>0</v>
      </c>
      <c r="BV37" s="242"/>
      <c r="BW37" s="302"/>
      <c r="BX37" s="302"/>
      <c r="BZ37" s="302"/>
      <c r="CA37" s="302"/>
      <c r="CC37" s="302"/>
      <c r="CD37" s="302"/>
      <c r="CE37" s="302"/>
      <c r="CF37" s="302"/>
    </row>
    <row r="38" spans="1:84">
      <c r="A38" s="452"/>
      <c r="B38" s="24">
        <v>43253</v>
      </c>
      <c r="C38" s="280"/>
      <c r="D38" s="281"/>
      <c r="E38" s="282"/>
      <c r="F38" s="223"/>
      <c r="G38" s="223"/>
      <c r="H38" s="283"/>
      <c r="I38" s="283"/>
      <c r="J38" s="283"/>
      <c r="K38" s="283"/>
      <c r="L38" s="284"/>
      <c r="M38" s="284"/>
      <c r="N38" s="284"/>
      <c r="O38" s="284"/>
      <c r="P38" s="284"/>
      <c r="Q38" s="280"/>
      <c r="R38" s="285"/>
      <c r="S38" s="286"/>
      <c r="T38" s="286"/>
      <c r="U38" s="286"/>
      <c r="V38" s="287"/>
      <c r="W38" s="283"/>
      <c r="X38" s="283"/>
      <c r="Y38" s="283"/>
      <c r="Z38" s="288"/>
      <c r="AA38" s="288"/>
      <c r="AB38" s="284"/>
      <c r="AC38" s="221">
        <f t="shared" si="0"/>
        <v>0</v>
      </c>
      <c r="AD38" s="222">
        <f t="shared" si="1"/>
        <v>0</v>
      </c>
      <c r="AE38" s="223"/>
      <c r="AF38" s="224" t="str">
        <f t="shared" si="2"/>
        <v>no data</v>
      </c>
      <c r="AG38" s="225" t="str">
        <f t="shared" si="3"/>
        <v>no data</v>
      </c>
      <c r="AH38" s="224" t="str">
        <f t="shared" si="4"/>
        <v>no data</v>
      </c>
      <c r="AI38" s="226" t="str">
        <f t="shared" si="18"/>
        <v>no data</v>
      </c>
      <c r="AJ38" s="227" t="str">
        <f t="shared" si="6"/>
        <v>no data</v>
      </c>
      <c r="AK38" s="255"/>
      <c r="AL38" s="256"/>
      <c r="AM38" s="282">
        <f t="shared" si="7"/>
        <v>0</v>
      </c>
      <c r="AN38" s="255"/>
      <c r="AO38" s="289"/>
      <c r="AP38" s="290">
        <f t="shared" si="8"/>
        <v>0</v>
      </c>
      <c r="AQ38" s="228" t="str">
        <f t="shared" si="9"/>
        <v>no data</v>
      </c>
      <c r="AR38" s="229" t="str">
        <f t="shared" si="19"/>
        <v>no data</v>
      </c>
      <c r="AS38" s="291"/>
      <c r="AT38" s="223"/>
      <c r="AU38" s="292"/>
      <c r="AV38" s="292"/>
      <c r="AW38" s="223"/>
      <c r="AX38" s="292"/>
      <c r="AY38" s="223"/>
      <c r="AZ38" s="223"/>
      <c r="BA38" s="293"/>
      <c r="BB38" s="242"/>
      <c r="BC38" s="242"/>
      <c r="BD38" s="242"/>
      <c r="BE38" s="242">
        <f t="shared" si="11"/>
        <v>0</v>
      </c>
      <c r="BF38" s="242" t="str">
        <f t="shared" si="12"/>
        <v>no data</v>
      </c>
      <c r="BG38" s="294">
        <f t="shared" si="13"/>
        <v>0</v>
      </c>
      <c r="BH38" s="295"/>
      <c r="BI38" s="296"/>
      <c r="BJ38" s="297"/>
      <c r="BK38" s="298"/>
      <c r="BL38" s="298"/>
      <c r="BM38" s="298"/>
      <c r="BN38" s="299"/>
      <c r="BO38" s="298"/>
      <c r="BP38" s="300"/>
      <c r="BQ38" s="298"/>
      <c r="BR38" s="297"/>
      <c r="BS38" s="242"/>
      <c r="BT38" s="242"/>
      <c r="BU38" s="301">
        <f t="shared" si="14"/>
        <v>0</v>
      </c>
      <c r="BV38" s="242"/>
      <c r="BW38" s="302"/>
      <c r="BX38" s="302"/>
      <c r="BZ38" s="302"/>
      <c r="CA38" s="302"/>
      <c r="CC38" s="302"/>
      <c r="CD38" s="302"/>
      <c r="CE38" s="302"/>
      <c r="CF38" s="302"/>
    </row>
    <row r="39" spans="1:84">
      <c r="A39" s="453"/>
      <c r="B39" s="24">
        <v>43254</v>
      </c>
      <c r="C39" s="280"/>
      <c r="D39" s="281"/>
      <c r="E39" s="282"/>
      <c r="F39" s="223"/>
      <c r="G39" s="223"/>
      <c r="H39" s="283"/>
      <c r="I39" s="283"/>
      <c r="J39" s="283"/>
      <c r="K39" s="283"/>
      <c r="L39" s="284"/>
      <c r="M39" s="284"/>
      <c r="N39" s="284"/>
      <c r="O39" s="284"/>
      <c r="P39" s="284"/>
      <c r="Q39" s="280"/>
      <c r="R39" s="285"/>
      <c r="S39" s="286"/>
      <c r="T39" s="286"/>
      <c r="U39" s="286"/>
      <c r="V39" s="287"/>
      <c r="W39" s="283"/>
      <c r="X39" s="283"/>
      <c r="Y39" s="283"/>
      <c r="Z39" s="288"/>
      <c r="AA39" s="288"/>
      <c r="AB39" s="284"/>
      <c r="AC39" s="221">
        <f t="shared" si="0"/>
        <v>0</v>
      </c>
      <c r="AD39" s="222">
        <f t="shared" si="1"/>
        <v>0</v>
      </c>
      <c r="AE39" s="223"/>
      <c r="AF39" s="224" t="str">
        <f t="shared" si="2"/>
        <v>no data</v>
      </c>
      <c r="AG39" s="225" t="str">
        <f t="shared" si="3"/>
        <v>no data</v>
      </c>
      <c r="AH39" s="224" t="str">
        <f t="shared" si="4"/>
        <v>no data</v>
      </c>
      <c r="AI39" s="226" t="str">
        <f t="shared" si="18"/>
        <v>no data</v>
      </c>
      <c r="AJ39" s="227" t="str">
        <f t="shared" si="6"/>
        <v>no data</v>
      </c>
      <c r="AK39" s="255"/>
      <c r="AL39" s="256"/>
      <c r="AM39" s="282">
        <f t="shared" si="7"/>
        <v>0</v>
      </c>
      <c r="AN39" s="255"/>
      <c r="AO39" s="289"/>
      <c r="AP39" s="290">
        <f t="shared" si="8"/>
        <v>0</v>
      </c>
      <c r="AQ39" s="228" t="str">
        <f t="shared" si="9"/>
        <v>no data</v>
      </c>
      <c r="AR39" s="229" t="str">
        <f t="shared" si="19"/>
        <v>no data</v>
      </c>
      <c r="AS39" s="291"/>
      <c r="AT39" s="223"/>
      <c r="AU39" s="292"/>
      <c r="AV39" s="292"/>
      <c r="AW39" s="223"/>
      <c r="AX39" s="292"/>
      <c r="AY39" s="223"/>
      <c r="AZ39" s="223"/>
      <c r="BA39" s="293"/>
      <c r="BB39" s="242"/>
      <c r="BC39" s="242"/>
      <c r="BD39" s="242"/>
      <c r="BE39" s="242">
        <f t="shared" si="11"/>
        <v>0</v>
      </c>
      <c r="BF39" s="242" t="str">
        <f t="shared" si="12"/>
        <v>no data</v>
      </c>
      <c r="BG39" s="294">
        <f t="shared" si="13"/>
        <v>0</v>
      </c>
      <c r="BH39" s="295"/>
      <c r="BI39" s="296"/>
      <c r="BJ39" s="297"/>
      <c r="BK39" s="298"/>
      <c r="BL39" s="298"/>
      <c r="BM39" s="298"/>
      <c r="BN39" s="299"/>
      <c r="BO39" s="298"/>
      <c r="BP39" s="300"/>
      <c r="BQ39" s="298"/>
      <c r="BR39" s="297"/>
      <c r="BS39" s="242"/>
      <c r="BT39" s="242"/>
      <c r="BU39" s="301">
        <f t="shared" si="14"/>
        <v>0</v>
      </c>
      <c r="BV39" s="242"/>
      <c r="BW39" s="302"/>
      <c r="BX39" s="302"/>
      <c r="BZ39" s="302"/>
      <c r="CA39" s="302"/>
      <c r="CC39" s="302"/>
      <c r="CD39" s="302"/>
      <c r="CE39" s="302"/>
      <c r="CF39" s="302"/>
    </row>
    <row r="40" spans="1:84">
      <c r="A40" s="79"/>
      <c r="B40" s="80" t="s">
        <v>83</v>
      </c>
      <c r="C40" s="81">
        <f>AVERAGE(C6:C36)</f>
        <v>92.073870967741925</v>
      </c>
      <c r="D40" s="81">
        <f>AVERAGE(D6:D36)</f>
        <v>0.39246774193548395</v>
      </c>
      <c r="E40" s="81">
        <f>AVERAGE(E6:E36)</f>
        <v>66.414838709677426</v>
      </c>
      <c r="F40" s="81">
        <f>AVERAGE(F6:F36)</f>
        <v>103.58064516129032</v>
      </c>
      <c r="G40" s="81">
        <f>AVERAGE(G6:G36)</f>
        <v>80.548387096774192</v>
      </c>
      <c r="H40" s="81">
        <f>SUM(H6:H36)+(INT(SUM(I6:I36)/60))</f>
        <v>692</v>
      </c>
      <c r="I40" s="81">
        <f>SUM(I6:I36)-(INT(SUM(I6:I36)/60)*60)</f>
        <v>4</v>
      </c>
      <c r="J40" s="81">
        <f>SUM(J6:J36)+(INT(SUM(K6:K36)/60))</f>
        <v>676</v>
      </c>
      <c r="K40" s="81">
        <f t="shared" ref="K40:Q40" si="20">SUM(K6:K36)-(INT(SUM(K6:K36)/60)*60)</f>
        <v>33</v>
      </c>
      <c r="L40" s="81">
        <f t="shared" si="20"/>
        <v>0</v>
      </c>
      <c r="M40" s="81">
        <f t="shared" si="20"/>
        <v>0</v>
      </c>
      <c r="N40" s="81">
        <f t="shared" si="20"/>
        <v>0</v>
      </c>
      <c r="O40" s="81">
        <f t="shared" si="20"/>
        <v>0</v>
      </c>
      <c r="P40" s="81">
        <f t="shared" si="20"/>
        <v>1</v>
      </c>
      <c r="Q40" s="81">
        <f t="shared" si="20"/>
        <v>34</v>
      </c>
      <c r="R40" s="83">
        <f>SUM(R6:R36)</f>
        <v>107632</v>
      </c>
      <c r="S40" s="83">
        <f>SUM(S6:S36)</f>
        <v>94378</v>
      </c>
      <c r="T40" s="83">
        <f>SUM(T6:T36)</f>
        <v>93991</v>
      </c>
      <c r="U40" s="334">
        <v>90125.04</v>
      </c>
      <c r="V40" s="83">
        <f>SUM(V6:V36)</f>
        <v>92896</v>
      </c>
      <c r="W40" s="85">
        <f>AVERAGE(W6:W36)</f>
        <v>42.903225806451616</v>
      </c>
      <c r="X40" s="85">
        <f>SUM(X6:X36)</f>
        <v>2674</v>
      </c>
      <c r="Y40" s="85">
        <f>AVERAGE(Y6:Y36)</f>
        <v>44.322580645161288</v>
      </c>
      <c r="Z40" s="85">
        <f>SUM(Z6:Z36)</f>
        <v>3532</v>
      </c>
      <c r="AA40" s="85">
        <f>AVERAGE(AA6:AA36)</f>
        <v>56.677419354838712</v>
      </c>
      <c r="AB40" s="85">
        <f>SUM(AB6:AB36)</f>
        <v>2906</v>
      </c>
      <c r="AC40" s="86">
        <f>V40-U40+AZ40</f>
        <v>2807.9600000000064</v>
      </c>
      <c r="AD40" s="87">
        <f>(SUM($AD$6:$AD$36))</f>
        <v>-4067</v>
      </c>
      <c r="AE40" s="87">
        <f>AVERAGE(AE6:AE36)</f>
        <v>135.64516129032259</v>
      </c>
      <c r="AF40" s="88">
        <f>AVERAGE(AF6:AF36)</f>
        <v>0.90541932129930436</v>
      </c>
      <c r="AG40" s="90">
        <f>AVERAGE(AG6:AG36)</f>
        <v>144.66666666666666</v>
      </c>
      <c r="AH40" s="88">
        <f>U40/R40</f>
        <v>0.83734428422773888</v>
      </c>
      <c r="AI40" s="88">
        <f>AVERAGE(AI6:AI36)</f>
        <v>0.93205147918845999</v>
      </c>
      <c r="AJ40" s="88">
        <f>AVERAGE(AJ6:AJ36)</f>
        <v>0.8661674844524152</v>
      </c>
      <c r="AK40" s="89">
        <f>SUM(AK6:AK36)</f>
        <v>267.00900000000001</v>
      </c>
      <c r="AL40" s="89">
        <f>AVERAGE(AL6:AL36)</f>
        <v>142.25193548387102</v>
      </c>
      <c r="AM40" s="89">
        <f>SUM(AM6:AM36)</f>
        <v>39216.475299999998</v>
      </c>
      <c r="AN40" s="89">
        <f>SUM(AN6:AN36)</f>
        <v>765.75831999999991</v>
      </c>
      <c r="AO40" s="87">
        <f>AVERAGE(AO6:AO36)</f>
        <v>974.29720107760647</v>
      </c>
      <c r="AP40" s="90">
        <f>SUM(AP6:AP36)</f>
        <v>745903.61960821843</v>
      </c>
      <c r="AQ40" s="91">
        <f>((AM40+AP40))/(U40*1000)*1000000</f>
        <v>8711.4534973656428</v>
      </c>
      <c r="AR40" s="328">
        <f>AVERAGE(AR6:AR36)</f>
        <v>126.85215053763444</v>
      </c>
      <c r="AS40" s="13"/>
      <c r="AT40" s="93">
        <f t="shared" ref="AT40:AZ40" si="21">SUM(AT6:AT36)</f>
        <v>72</v>
      </c>
      <c r="AU40" s="93">
        <f t="shared" si="21"/>
        <v>442</v>
      </c>
      <c r="AV40" s="93">
        <f t="shared" si="21"/>
        <v>140</v>
      </c>
      <c r="AW40" s="93">
        <f t="shared" si="21"/>
        <v>469</v>
      </c>
      <c r="AX40" s="93">
        <f t="shared" si="21"/>
        <v>406</v>
      </c>
      <c r="AY40" s="93">
        <f t="shared" si="21"/>
        <v>27217</v>
      </c>
      <c r="AZ40" s="93">
        <f t="shared" si="21"/>
        <v>37</v>
      </c>
      <c r="BA40" s="4"/>
      <c r="BB40" s="94">
        <f>SUM(BB6:BB36)</f>
        <v>29987</v>
      </c>
      <c r="BC40" s="94">
        <f>SUM(BC6:BC36)</f>
        <v>30285</v>
      </c>
      <c r="BD40" s="94">
        <f>SUM(BD6:BD36)</f>
        <v>32624</v>
      </c>
      <c r="BE40" s="6">
        <f>(BC40-BB40)</f>
        <v>298</v>
      </c>
      <c r="BF40" s="95">
        <f t="shared" si="12"/>
        <v>8711.4534973656428</v>
      </c>
      <c r="BG40" s="95">
        <f>AVERAGE(BG6:BG36)</f>
        <v>43.849462365591407</v>
      </c>
      <c r="BH40" s="95">
        <f>SUM(BH6:BH36)</f>
        <v>21.865999999999996</v>
      </c>
      <c r="BI40" s="95">
        <f>SUM(BI6:BI36)</f>
        <v>19.240000000000002</v>
      </c>
      <c r="BJ40" s="95">
        <f t="shared" ref="BJ40:BT40" si="22">AVERAGE(BJ6:BJ36)</f>
        <v>26.180967741935483</v>
      </c>
      <c r="BK40" s="95">
        <f t="shared" si="22"/>
        <v>25.224516129032256</v>
      </c>
      <c r="BL40" s="95">
        <f t="shared" si="22"/>
        <v>20.145806451612906</v>
      </c>
      <c r="BM40" s="95">
        <f t="shared" si="22"/>
        <v>24.723225806451616</v>
      </c>
      <c r="BN40" s="95">
        <f t="shared" si="22"/>
        <v>983.12677419354839</v>
      </c>
      <c r="BO40" s="95">
        <f t="shared" si="22"/>
        <v>50.074193548387079</v>
      </c>
      <c r="BP40" s="95">
        <f t="shared" si="22"/>
        <v>0.90952580645161285</v>
      </c>
      <c r="BQ40" s="95">
        <f t="shared" si="22"/>
        <v>95.261935483871</v>
      </c>
      <c r="BR40" s="95">
        <f t="shared" si="22"/>
        <v>83.521612903225815</v>
      </c>
      <c r="BS40" s="95">
        <f t="shared" si="22"/>
        <v>12275.354838709678</v>
      </c>
      <c r="BT40" s="95">
        <f t="shared" si="22"/>
        <v>11448.709677419354</v>
      </c>
      <c r="BU40" s="6"/>
      <c r="BV40" s="97">
        <f>(SUM(BV6:BV36))</f>
        <v>41.106000000000002</v>
      </c>
      <c r="BW40" s="97">
        <f>(SUM(BW6:BW36))</f>
        <v>303.60000000000002</v>
      </c>
      <c r="BX40" s="97">
        <f>(SUM(BX6:BX36))</f>
        <v>280.53000000000003</v>
      </c>
      <c r="BZ40" s="97">
        <f>(SUM(BZ6:BZ36))</f>
        <v>687.41999999999985</v>
      </c>
      <c r="CA40" s="97">
        <f>(SUM(CA6:CA36))</f>
        <v>224.61999999999995</v>
      </c>
      <c r="CC40" s="97"/>
      <c r="CD40" s="97"/>
      <c r="CE40" s="97"/>
      <c r="CF40" s="97"/>
    </row>
    <row r="41" spans="1:84" ht="15.75" thickBot="1">
      <c r="A41" s="98"/>
      <c r="B41" s="99" t="s">
        <v>84</v>
      </c>
      <c r="C41" s="100" t="s">
        <v>85</v>
      </c>
      <c r="D41" s="101" t="s">
        <v>86</v>
      </c>
      <c r="E41" s="101"/>
      <c r="F41" s="102" t="s">
        <v>87</v>
      </c>
      <c r="G41" s="102" t="s">
        <v>88</v>
      </c>
      <c r="H41" s="102" t="s">
        <v>75</v>
      </c>
      <c r="I41" s="102" t="s">
        <v>76</v>
      </c>
      <c r="J41" s="102" t="s">
        <v>75</v>
      </c>
      <c r="K41" s="102" t="s">
        <v>76</v>
      </c>
      <c r="L41" s="102" t="s">
        <v>75</v>
      </c>
      <c r="M41" s="102" t="s">
        <v>76</v>
      </c>
      <c r="N41" s="102" t="s">
        <v>75</v>
      </c>
      <c r="O41" s="102" t="s">
        <v>76</v>
      </c>
      <c r="P41" s="102" t="s">
        <v>75</v>
      </c>
      <c r="Q41" s="102" t="s">
        <v>76</v>
      </c>
      <c r="R41" s="103" t="s">
        <v>91</v>
      </c>
      <c r="S41" s="103" t="s">
        <v>91</v>
      </c>
      <c r="T41" s="103" t="s">
        <v>91</v>
      </c>
      <c r="U41" s="103" t="s">
        <v>91</v>
      </c>
      <c r="V41" s="103" t="s">
        <v>91</v>
      </c>
      <c r="W41" s="103" t="s">
        <v>92</v>
      </c>
      <c r="X41" s="103" t="s">
        <v>93</v>
      </c>
      <c r="Y41" s="103" t="s">
        <v>94</v>
      </c>
      <c r="Z41" s="103" t="s">
        <v>93</v>
      </c>
      <c r="AA41" s="103" t="s">
        <v>94</v>
      </c>
      <c r="AB41" s="103" t="s">
        <v>93</v>
      </c>
      <c r="AC41" s="103" t="s">
        <v>95</v>
      </c>
      <c r="AD41" s="103" t="s">
        <v>96</v>
      </c>
      <c r="AE41" s="103" t="s">
        <v>97</v>
      </c>
      <c r="AF41" s="103" t="s">
        <v>98</v>
      </c>
      <c r="AG41" s="103" t="s">
        <v>99</v>
      </c>
      <c r="AH41" s="103" t="s">
        <v>99</v>
      </c>
      <c r="AI41" s="103"/>
      <c r="AJ41" s="103" t="s">
        <v>99</v>
      </c>
      <c r="AK41" s="103" t="s">
        <v>100</v>
      </c>
      <c r="AL41" s="103" t="s">
        <v>99</v>
      </c>
      <c r="AM41" s="103"/>
      <c r="AN41" s="103" t="s">
        <v>100</v>
      </c>
      <c r="AO41" s="103" t="s">
        <v>99</v>
      </c>
      <c r="AP41" s="104"/>
      <c r="AQ41" s="105" t="s">
        <v>99</v>
      </c>
      <c r="AR41" s="106"/>
      <c r="AS41" s="107"/>
      <c r="AZ41" s="108" t="s">
        <v>100</v>
      </c>
      <c r="BA41" s="4"/>
      <c r="BF41" s="109" t="str">
        <f t="shared" si="12"/>
        <v>Avg.</v>
      </c>
      <c r="BS41" s="5"/>
      <c r="BT41" s="5"/>
      <c r="BU41" s="6"/>
    </row>
    <row r="42" spans="1:84" ht="15.75" thickBot="1">
      <c r="B42" s="110"/>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c r="AA42" s="110"/>
      <c r="AB42" s="110"/>
      <c r="AC42" s="110"/>
      <c r="AD42" s="110"/>
      <c r="AE42" s="110"/>
      <c r="AF42" s="110"/>
      <c r="AG42" s="110"/>
      <c r="AH42" s="110"/>
      <c r="AI42" s="110"/>
      <c r="AJ42" s="110"/>
      <c r="AK42" s="110"/>
      <c r="AL42" s="110"/>
      <c r="AM42" s="111"/>
      <c r="AQ42" s="112"/>
      <c r="AR42" s="112"/>
      <c r="AS42" s="4"/>
      <c r="BA42" s="113"/>
      <c r="BB42" s="114"/>
      <c r="BC42" s="114"/>
      <c r="BD42" s="114"/>
      <c r="BE42" s="6"/>
      <c r="BS42" s="5"/>
      <c r="BT42" s="5"/>
      <c r="BU42" s="6"/>
    </row>
    <row r="43" spans="1:84" ht="60.75" thickBot="1">
      <c r="B43" s="115" t="s">
        <v>101</v>
      </c>
      <c r="C43" s="116" t="s">
        <v>102</v>
      </c>
      <c r="D43" s="116" t="s">
        <v>103</v>
      </c>
      <c r="E43" s="326"/>
      <c r="F43" s="428" t="s">
        <v>104</v>
      </c>
      <c r="G43" s="429"/>
      <c r="H43" s="428" t="s">
        <v>105</v>
      </c>
      <c r="I43" s="429"/>
      <c r="J43" s="428" t="s">
        <v>106</v>
      </c>
      <c r="K43" s="429"/>
      <c r="L43" s="428" t="s">
        <v>107</v>
      </c>
      <c r="M43" s="429"/>
      <c r="N43" s="428" t="s">
        <v>108</v>
      </c>
      <c r="O43" s="429"/>
      <c r="P43" s="428" t="s">
        <v>109</v>
      </c>
      <c r="Q43" s="429"/>
      <c r="R43" s="117" t="s">
        <v>110</v>
      </c>
      <c r="S43" s="118" t="s">
        <v>111</v>
      </c>
      <c r="T43" s="119" t="s">
        <v>112</v>
      </c>
      <c r="U43" s="116" t="s">
        <v>11</v>
      </c>
      <c r="V43" s="119" t="s">
        <v>12</v>
      </c>
      <c r="W43" s="116" t="s">
        <v>113</v>
      </c>
      <c r="X43" s="116" t="s">
        <v>14</v>
      </c>
      <c r="Y43" s="116" t="s">
        <v>114</v>
      </c>
      <c r="Z43" s="116" t="s">
        <v>16</v>
      </c>
      <c r="AA43" s="116" t="s">
        <v>18</v>
      </c>
      <c r="AB43" s="116" t="s">
        <v>17</v>
      </c>
      <c r="AC43" s="118" t="s">
        <v>19</v>
      </c>
      <c r="AD43" s="120" t="s">
        <v>20</v>
      </c>
      <c r="AE43" s="121" t="s">
        <v>21</v>
      </c>
      <c r="AF43" s="121" t="s">
        <v>22</v>
      </c>
      <c r="AG43" s="121" t="s">
        <v>115</v>
      </c>
      <c r="AH43" s="122" t="s">
        <v>116</v>
      </c>
      <c r="AI43" s="122" t="s">
        <v>25</v>
      </c>
      <c r="AJ43" s="123" t="s">
        <v>26</v>
      </c>
      <c r="AK43" s="119" t="s">
        <v>117</v>
      </c>
      <c r="AL43" s="124" t="s">
        <v>28</v>
      </c>
      <c r="AM43" s="124" t="s">
        <v>29</v>
      </c>
      <c r="AN43" s="119" t="s">
        <v>118</v>
      </c>
      <c r="AO43" s="124" t="s">
        <v>119</v>
      </c>
      <c r="AP43" s="124" t="s">
        <v>32</v>
      </c>
      <c r="AQ43" s="123" t="s">
        <v>120</v>
      </c>
      <c r="AR43" s="125"/>
      <c r="AS43" s="125"/>
      <c r="BA43" s="113"/>
      <c r="BB43" s="114"/>
      <c r="BC43" s="114"/>
      <c r="BD43" s="114"/>
      <c r="BE43" s="126">
        <f>AVERAGE(BE27:BE30)</f>
        <v>57.25</v>
      </c>
      <c r="BS43" s="5"/>
      <c r="BT43" s="5"/>
      <c r="BU43" s="6"/>
    </row>
    <row r="44" spans="1:84">
      <c r="B44" s="127" t="s">
        <v>165</v>
      </c>
      <c r="C44" s="128">
        <f>IF(C5=0,"no data",AVERAGE(C5:C11))</f>
        <v>91.75</v>
      </c>
      <c r="D44" s="128">
        <f>IF(D5=0,"no data",AVERAGE(D5:D11))*100</f>
        <v>40.479999999999997</v>
      </c>
      <c r="E44" s="128">
        <f>IF(E5=0,"no data",AVERAGE(E5:E11))</f>
        <v>67.141428571428577</v>
      </c>
      <c r="F44" s="128">
        <f>IF(F5=0,"no data",AVERAGE(F5:F11))</f>
        <v>102.57142857142857</v>
      </c>
      <c r="G44" s="128">
        <f>IF(G5=0,"no data",AVERAGE(G5:G11))</f>
        <v>81</v>
      </c>
      <c r="H44" s="128">
        <f>SUM(H5:H11)+INT(SUM(I5:I11)/60)</f>
        <v>166</v>
      </c>
      <c r="I44" s="128">
        <f>SUM(I5:I11)-INT(SUM(I5:I11)/60)*60</f>
        <v>21</v>
      </c>
      <c r="J44" s="128">
        <f>SUM(J5:J11)+INT(SUM(K5:K11)/60)</f>
        <v>150</v>
      </c>
      <c r="K44" s="128">
        <f>SUM(K5:K11)-INT(SUM(K5:K11)/60)*60</f>
        <v>33</v>
      </c>
      <c r="L44" s="128">
        <f>SUM(L5:L11)+INT(SUM(M5:M11)/60)</f>
        <v>0</v>
      </c>
      <c r="M44" s="128">
        <f>SUM(M5:M11)-INT(SUM(M5:M11)/60)*60</f>
        <v>0</v>
      </c>
      <c r="N44" s="128">
        <f>SUM(N5:N11)+INT(SUM(O5:O11)/60)</f>
        <v>0</v>
      </c>
      <c r="O44" s="128">
        <f>SUM(O5:O11)-INT(SUM(O5:O11)/60)*60</f>
        <v>0</v>
      </c>
      <c r="P44" s="128">
        <f>SUM(P5:P11)+INT(SUM(Q5:Q11)/60)</f>
        <v>114</v>
      </c>
      <c r="Q44" s="128">
        <f>SUM(Q5:Q11)-INT(SUM(Q5:Q11)/60)*60</f>
        <v>2</v>
      </c>
      <c r="R44" s="130">
        <f>IF(C5=0,"no data", AVERAGE(R5:R11))</f>
        <v>3461.2857142857142</v>
      </c>
      <c r="S44" s="130">
        <f>IF(D5=0,"no data", AVERAGE(S5:S11))</f>
        <v>3152.4285714285716</v>
      </c>
      <c r="T44" s="130">
        <f>IF(E5=0,"no data", AVERAGE(T5:T11))</f>
        <v>3152.4285714285716</v>
      </c>
      <c r="U44" s="139">
        <f>IF(U5=0,"no data", SUM(U5:U11))</f>
        <v>21594</v>
      </c>
      <c r="V44" s="139">
        <f>IF(V5=0,"no data", SUM(V5:V11))</f>
        <v>22317</v>
      </c>
      <c r="W44" s="131">
        <f>IF(W5=0,"no data", AVERAGE(W5:W11))</f>
        <v>42.714285714285715</v>
      </c>
      <c r="X44" s="140">
        <f>IF(AND(X5=0,X6=0,X7=0,X8=0,X9=0,X10=0,X11=0),"No outage",SUM(X5:X11))</f>
        <v>62</v>
      </c>
      <c r="Y44" s="131">
        <f>IF(Y5=0,"no data", AVERAGE(Y5:Y11))</f>
        <v>43.857142857142854</v>
      </c>
      <c r="Z44" s="140">
        <f>IF(AND(Z5=0,Z6=0,Z7=0,Z8=0,Z9=0,Z10=0,Z11=0),"No outage",SUM(Z5:Z11))</f>
        <v>918</v>
      </c>
      <c r="AA44" s="132" t="str">
        <f>IF(AND(AB5=0,AB6=0,AB7=0,AB8=0,AB9=0, AB10=0,AB11=0),"No outage",SUM(AB5:AB11))</f>
        <v>No outage</v>
      </c>
      <c r="AB44" s="132">
        <f>IF(AA5=0,"no data", AVERAGE(AA5:AA11))</f>
        <v>56.142857142857146</v>
      </c>
      <c r="AC44" s="128" t="str">
        <f>IF(Z5=0,"no data", SUM(AC5:AC11))</f>
        <v>no data</v>
      </c>
      <c r="AD44" s="128">
        <f>IF(AD5=0,"no data", SUM(AD5:AD11))</f>
        <v>-473</v>
      </c>
      <c r="AE44" s="131">
        <f t="shared" ref="AE44:AJ44" si="23">IF(AE5=0,"no data", AVERAGE(AE5:AE11))</f>
        <v>144.71428571428572</v>
      </c>
      <c r="AF44" s="133">
        <f t="shared" si="23"/>
        <v>0.91653463917092459</v>
      </c>
      <c r="AG44" s="132">
        <f t="shared" si="23"/>
        <v>144.2202380952381</v>
      </c>
      <c r="AH44" s="133">
        <f t="shared" si="23"/>
        <v>0.89218594012513375</v>
      </c>
      <c r="AI44" s="133">
        <f t="shared" si="23"/>
        <v>0.96973785762848252</v>
      </c>
      <c r="AJ44" s="133">
        <f t="shared" si="23"/>
        <v>0.92904983814058062</v>
      </c>
      <c r="AK44" s="132">
        <f>IF(AK5=0,"no data", SUM(AK5:AK11))</f>
        <v>59.896000000000001</v>
      </c>
      <c r="AL44" s="132">
        <f>IF(AL5=0,"no data", AVERAGE(AL5:AL11))</f>
        <v>143.61285714285714</v>
      </c>
      <c r="AM44" s="132">
        <f>AK44*AL44</f>
        <v>8601.8356914285705</v>
      </c>
      <c r="AN44" s="132">
        <f>IF(AN5=0,"no data", SUM(AN5:AN11))</f>
        <v>187.447</v>
      </c>
      <c r="AO44" s="132">
        <f>IF(AO5=0,"no data", AVERAGE(AO5:AO11))</f>
        <v>971.97970341011057</v>
      </c>
      <c r="AP44" s="132">
        <f>AN44*AO44</f>
        <v>182194.67946511501</v>
      </c>
      <c r="AQ44" s="134">
        <f>IF(AQ5=0,"no data", AVERAGE(AQ5:AQ11))</f>
        <v>8846.4603344221505</v>
      </c>
      <c r="AR44" s="135"/>
      <c r="AS44" s="136"/>
      <c r="BA44" s="113"/>
      <c r="BB44" s="114"/>
      <c r="BC44" s="114"/>
      <c r="BD44" s="114"/>
      <c r="BS44" s="5"/>
      <c r="BT44" s="5"/>
      <c r="BU44" s="6"/>
    </row>
    <row r="45" spans="1:84">
      <c r="B45" s="127" t="s">
        <v>177</v>
      </c>
      <c r="C45" s="137">
        <f>IF(C12=0,"no data", AVERAGE(C12:C18))</f>
        <v>90.124285714285719</v>
      </c>
      <c r="D45" s="138">
        <f>IF(D12=0,"no data", AVERAGE(D12:D18))</f>
        <v>0.4266571428571429</v>
      </c>
      <c r="E45" s="140">
        <f>IF(E12=0,"no data", AVERAGE(E12:E18))</f>
        <v>66.648571428571429</v>
      </c>
      <c r="F45" s="137">
        <f>IF(F12=0,"no data", AVERAGE(F12:F18))</f>
        <v>101.14285714285714</v>
      </c>
      <c r="G45" s="137">
        <f>IF(G12=0,"no data", AVERAGE(G12:G18))</f>
        <v>78.428571428571431</v>
      </c>
      <c r="H45" s="137">
        <f>SUM(H12:H18)+INT(SUM(I12:I18)/60)</f>
        <v>168</v>
      </c>
      <c r="I45" s="137">
        <f>SUM(I12:I18)-INT(SUM(J12:J18)/60)</f>
        <v>-2</v>
      </c>
      <c r="J45" s="137">
        <f>SUM(J12:J18)+INT(SUM(K12:K18)/60)</f>
        <v>168</v>
      </c>
      <c r="K45" s="137">
        <f>SUM(K12:K18)-INT(SUM(L12:L18)/60)*60</f>
        <v>0</v>
      </c>
      <c r="L45" s="137">
        <f>SUM(L12:L18)+INT(SUM(M12:M18)/60)</f>
        <v>0</v>
      </c>
      <c r="M45" s="137">
        <f>SUM(M12:M18)-INT(SUM(N12:N18)/60)*60</f>
        <v>0</v>
      </c>
      <c r="N45" s="137">
        <f>SUM(N12:N18)+INT(SUM(O12:O18)/60)</f>
        <v>0</v>
      </c>
      <c r="O45" s="137">
        <v>0</v>
      </c>
      <c r="P45" s="137">
        <f>SUM(P12:P18)+INT(SUM(Q12:Q18)/60)</f>
        <v>127</v>
      </c>
      <c r="Q45" s="137">
        <f>SUM(Q8:Q12)-INT(SUM(Q12:Q18)/60)*60</f>
        <v>-58</v>
      </c>
      <c r="R45" s="139">
        <f>IF(R12=0,"no data", AVERAGE(R12:R18))</f>
        <v>3495.4285714285716</v>
      </c>
      <c r="S45" s="139">
        <f>IF(S12=0,"no data", AVERAGE(S12:S18))</f>
        <v>3365.5714285714284</v>
      </c>
      <c r="T45" s="139">
        <f>IF(T12=0,"no data", AVERAGE(T12:T18))</f>
        <v>3330.2857142857142</v>
      </c>
      <c r="U45" s="139">
        <f>IF(U12=0,"no data", SUM(U12:U18))</f>
        <v>22868</v>
      </c>
      <c r="V45" s="139">
        <f>IF(V12=0,"no data", SUM(V12:V18))</f>
        <v>23610</v>
      </c>
      <c r="W45" s="139">
        <f>IF(W12=0,"no data", AVERAGE(W12:W18))</f>
        <v>42.857142857142854</v>
      </c>
      <c r="X45" s="140" t="str">
        <f>IF(AND(X12=0,X13=0,X14=0,X15=0,X16=0,X17=0,X18=0),"No outage",SUM(X12:X18))</f>
        <v>No outage</v>
      </c>
      <c r="Y45" s="139">
        <f>IF(Y12=0,"no data", AVERAGE(Y12:Y18))</f>
        <v>43.857142857142854</v>
      </c>
      <c r="Z45" s="140" t="str">
        <f>IF(AND(Z12=0,Z13=0,Z14=0,Z15=0,Z16=0,Z17=0,Z18=0),"No outage",SUM(Z12:Z18))</f>
        <v>No outage</v>
      </c>
      <c r="AA45" s="132" t="str">
        <f>IF(AND(AB12=0,AB13=0,AB14=0,AB15=0,AB16=0, AB17=0,AB18=0),"No outage",SUM(AB12:AB18))</f>
        <v>No outage</v>
      </c>
      <c r="AB45" s="132">
        <f>IF(AA6=12,"no data", AVERAGE(AA12:AA18))</f>
        <v>56.857142857142854</v>
      </c>
      <c r="AC45" s="139">
        <f>IF(AC12=0,"no data", SUM(AC12:AC18))</f>
        <v>742</v>
      </c>
      <c r="AD45" s="139">
        <f>IF(AD12=0,"no data", SUM(AD12:AD18))</f>
        <v>-444</v>
      </c>
      <c r="AE45" s="139">
        <f t="shared" ref="AE45:AJ45" si="24">IF(AE12=0,"no data", AVERAGE(AE12:AE18))</f>
        <v>145.71428571428572</v>
      </c>
      <c r="AF45" s="141">
        <f t="shared" si="24"/>
        <v>0.96496795827642223</v>
      </c>
      <c r="AG45" s="139">
        <f t="shared" si="24"/>
        <v>145.64285714285714</v>
      </c>
      <c r="AH45" s="141">
        <f t="shared" si="24"/>
        <v>0.93489604826460038</v>
      </c>
      <c r="AI45" s="141">
        <f t="shared" si="24"/>
        <v>1</v>
      </c>
      <c r="AJ45" s="141">
        <f t="shared" si="24"/>
        <v>0.97528969954146016</v>
      </c>
      <c r="AK45" s="142">
        <f>IF(AK12=0,"no data",SUM(AK12:AK18))</f>
        <v>65.635999999999996</v>
      </c>
      <c r="AL45" s="143">
        <f>IF(AL12=0,"no data", AVERAGE(AL12:AL18))</f>
        <v>144.60714285714286</v>
      </c>
      <c r="AM45" s="140">
        <f>AK45*AL45</f>
        <v>9491.4344285714287</v>
      </c>
      <c r="AN45" s="140">
        <f>IF(AN12=0,"no data", SUM(AN12:AN18))</f>
        <v>197.05</v>
      </c>
      <c r="AO45" s="142">
        <f>IF(AO12=0,"no data",AVERAGE(AO12:AO18))</f>
        <v>972.58282068075118</v>
      </c>
      <c r="AP45" s="140">
        <f>AN45*AO45</f>
        <v>191647.44481514202</v>
      </c>
      <c r="AQ45" s="144">
        <f>IF(AQ12=0,"no data", AVERAGE(AQ12:AQ18))</f>
        <v>8793.4786370450693</v>
      </c>
      <c r="AR45" s="135"/>
      <c r="AS45" s="136"/>
      <c r="BA45" s="113"/>
      <c r="BC45" s="114"/>
      <c r="BS45" s="5"/>
      <c r="BT45" s="5"/>
      <c r="BU45" s="6"/>
    </row>
    <row r="46" spans="1:84">
      <c r="A46" s="145"/>
      <c r="B46" s="127" t="s">
        <v>178</v>
      </c>
      <c r="C46" s="140">
        <f>IF(C19=0,"no data", AVERAGE(C19:C25))</f>
        <v>89.747142857142848</v>
      </c>
      <c r="D46" s="138">
        <f>IF(D19=0,"no data", AVERAGE(D19:D25))</f>
        <v>0.42888571428571426</v>
      </c>
      <c r="E46" s="140">
        <f>IF(E19=0,"no data", AVERAGE(E19:E25))</f>
        <v>66.498571428571438</v>
      </c>
      <c r="F46" s="140">
        <f>IF(F19=0,"no data", AVERAGE(F19:F25))</f>
        <v>101.57142857142857</v>
      </c>
      <c r="G46" s="140">
        <f>IF(G19=0,"no data", AVERAGE(G19:G25))</f>
        <v>79.857142857142861</v>
      </c>
      <c r="H46" s="137">
        <f>SUM(H19:H25)+INT(SUM(I19:I25)/60)</f>
        <v>130</v>
      </c>
      <c r="I46" s="137">
        <f>SUM(I19:I25)-INT(SUM(I25:I25)/60)*60</f>
        <v>78</v>
      </c>
      <c r="J46" s="137">
        <f>SUM(J19:J25)+INT(SUM(K19:K25)/60)</f>
        <v>128</v>
      </c>
      <c r="K46" s="137">
        <f>SUM(K19:K25)-INT(SUM(K19:K25)/60)*60</f>
        <v>57</v>
      </c>
      <c r="L46" s="137">
        <f>SUM(L19:L25)+INT(SUM(M19:M25)/60)</f>
        <v>0</v>
      </c>
      <c r="M46" s="137">
        <f>SUM(M19:M25)-INT(SUM(M19:M25)/60)*60</f>
        <v>0</v>
      </c>
      <c r="N46" s="137">
        <f>SUM(N19:N25)+INT(SUM(O19:O25)/60)</f>
        <v>0</v>
      </c>
      <c r="O46" s="137">
        <f>SUM(O19:O25)-INT(SUM(O19:O25)/60)*60</f>
        <v>0</v>
      </c>
      <c r="P46" s="137">
        <f>SUM(P19:P25)+INT(SUM(Q19:Q25)/60)</f>
        <v>12</v>
      </c>
      <c r="Q46" s="137">
        <f>SUM(Q19:Q25)-INT(SUM(Q19:Q25)/60)*60</f>
        <v>0</v>
      </c>
      <c r="R46" s="139">
        <f>IF(R19=0,"no data", AVERAGE(R19:R25))</f>
        <v>3501.1428571428573</v>
      </c>
      <c r="S46" s="139">
        <f>IF(S19=0,"no data", AVERAGE(S19:S25))</f>
        <v>2574.8571428571427</v>
      </c>
      <c r="T46" s="139">
        <f>IF(T19=0,"no data", AVERAGE(T19:T25))</f>
        <v>2554.8571428571427</v>
      </c>
      <c r="U46" s="146">
        <f>IF(U19=0,"no data", SUM(U19:U25))</f>
        <v>16815</v>
      </c>
      <c r="V46" s="146">
        <f>IF(V19=0,"no data", SUM(V19:V25))</f>
        <v>17373</v>
      </c>
      <c r="W46" s="146">
        <f>IF(W19=0,"no data", AVERAGE(W19:W25))</f>
        <v>43.142857142857146</v>
      </c>
      <c r="X46" s="140">
        <f>IF(AND(X19=0,X20=0,X21=0,X22=0,X23=0,X24=0,X25=0),"No outage",SUM(X19:X25))</f>
        <v>1896</v>
      </c>
      <c r="Y46" s="146">
        <f>IF(Y19=0,"no data", AVERAGE(Y19:Y25))</f>
        <v>44.285714285714285</v>
      </c>
      <c r="Z46" s="140">
        <f>IF(AND(Z19=0,Z20=0,Z21=0,Z22=0,Z23=0,Z24=0,Z25=0),"No outage",SUM(Z19:Z25))</f>
        <v>2137</v>
      </c>
      <c r="AA46" s="132">
        <f>IF(AND(AB19=0,AB20=0,AB21=0,AB22=0,AB23=0, AB24=0,AB25=0),"No outage",SUM(AB19:AB25))</f>
        <v>2257</v>
      </c>
      <c r="AB46" s="132">
        <f>IF(AA19=0,"no data", AVERAGE(AA19:AA25))</f>
        <v>56.571428571428569</v>
      </c>
      <c r="AC46" s="140">
        <f>IF(AC19=0,"no data", SUM(AC19:AC25))</f>
        <v>584</v>
      </c>
      <c r="AD46" s="146">
        <f>IF(AD19=0,"no data", SUM(AD19:AD25))</f>
        <v>-1069</v>
      </c>
      <c r="AE46" s="140">
        <f t="shared" ref="AE46:AJ46" si="25">IF(AE19=0,"no data", AVERAGE(AE19:AE25))</f>
        <v>123.42857142857143</v>
      </c>
      <c r="AF46" s="141">
        <f t="shared" si="25"/>
        <v>0.78235635635326395</v>
      </c>
      <c r="AG46" s="140">
        <f t="shared" si="25"/>
        <v>145.88095238095238</v>
      </c>
      <c r="AH46" s="141">
        <f t="shared" si="25"/>
        <v>0.68704351704806121</v>
      </c>
      <c r="AI46" s="141">
        <f t="shared" si="25"/>
        <v>0.79042314263668434</v>
      </c>
      <c r="AJ46" s="141">
        <f t="shared" si="25"/>
        <v>0.71767073445910767</v>
      </c>
      <c r="AK46" s="140">
        <f>IF(AK19=0,"no data", SUM(AK19:AK25))</f>
        <v>52.11</v>
      </c>
      <c r="AL46" s="140">
        <f>IF(AL19=0,"no data", AVERAGE(AL19:AL25))</f>
        <v>124.32428571428571</v>
      </c>
      <c r="AM46" s="140">
        <f>AK46*AL46</f>
        <v>6478.5385285714283</v>
      </c>
      <c r="AN46" s="140">
        <f>IF(AN19=0,"no data", SUM(AN19:AN24))</f>
        <v>118.34415099999998</v>
      </c>
      <c r="AO46" s="140">
        <f>IF(AO19=0,"no data", AVERAGE(AO19:AO24))</f>
        <v>974.32547990059913</v>
      </c>
      <c r="AP46" s="140">
        <f>AN46*AO46</f>
        <v>115305.72171650395</v>
      </c>
      <c r="AQ46" s="144">
        <f>IF(AQ19=0,"no data", AVERAGE(AQ19:AQ25))</f>
        <v>9668.6731357585613</v>
      </c>
      <c r="AR46" s="135"/>
      <c r="AS46" s="136"/>
      <c r="AT46" s="145"/>
      <c r="AU46" s="145"/>
      <c r="AV46" s="145"/>
      <c r="AW46" s="145"/>
      <c r="AY46" s="145"/>
      <c r="AZ46" s="145"/>
      <c r="BA46" s="113"/>
      <c r="BB46" s="145"/>
      <c r="BC46" s="114"/>
      <c r="BD46" s="145"/>
      <c r="BE46" s="145"/>
      <c r="BF46" s="145"/>
      <c r="BG46" s="145"/>
      <c r="BS46" s="5"/>
      <c r="BT46" s="5"/>
      <c r="BU46" s="6"/>
    </row>
    <row r="47" spans="1:84">
      <c r="B47" s="127" t="s">
        <v>179</v>
      </c>
      <c r="C47" s="140">
        <f>IF(C26=0,"no data", AVERAGE(C26:C32))</f>
        <v>94.371428571428581</v>
      </c>
      <c r="D47" s="140">
        <f>IF(D26=0,"no data", AVERAGE(D26:D32))</f>
        <v>0.32437142857142859</v>
      </c>
      <c r="E47" s="140">
        <f>IF(E26=0,"no data", AVERAGE(E26:E32))</f>
        <v>64.531428571428563</v>
      </c>
      <c r="F47" s="140">
        <f>IF(F26=0,"no data", AVERAGE(F26:F32))</f>
        <v>107</v>
      </c>
      <c r="G47" s="140">
        <f>IF(G26=0,"no data", AVERAGE(G26:G32))</f>
        <v>80.714285714285708</v>
      </c>
      <c r="H47" s="137">
        <f>SUM(H26:H32)+INT(SUM(I26:I32)/60)</f>
        <v>163</v>
      </c>
      <c r="I47" s="137">
        <f>SUM(I26:I32)-INT(SUM(I26:I32)/60)*60</f>
        <v>29</v>
      </c>
      <c r="J47" s="137">
        <f>SUM(J26:J32)+INT(SUM(K26:K32)/60)</f>
        <v>164</v>
      </c>
      <c r="K47" s="137">
        <f>SUM(K26:K32)-INT(SUM(K26:K32)/60)*60</f>
        <v>1</v>
      </c>
      <c r="L47" s="137">
        <f>SUM(L26:L32)+INT(SUM(M26:M32)/60)</f>
        <v>0</v>
      </c>
      <c r="M47" s="137">
        <f>SUM(M26:M32)-INT(SUM(M26:M32)/60)*60</f>
        <v>0</v>
      </c>
      <c r="N47" s="137">
        <f>SUM(N26:N32)+INT(SUM(O26:O32)/60)</f>
        <v>0</v>
      </c>
      <c r="O47" s="137">
        <f>SUM(O26:O32)-INT(SUM(O26:O32)/60)*60</f>
        <v>0</v>
      </c>
      <c r="P47" s="137">
        <f>SUM(P26:P32)+INT(SUM(Q26:Q32)/60)</f>
        <v>0</v>
      </c>
      <c r="Q47" s="137">
        <f>SUM(Q26:Q32)-INT(SUM(Q26:Q32)/60)*60</f>
        <v>0</v>
      </c>
      <c r="R47" s="139">
        <f>IF(R26=0,"no data", AVERAGE(R26:R32))</f>
        <v>3452.4285714285716</v>
      </c>
      <c r="S47" s="139">
        <f>IF(S26=0,"no data", AVERAGE(S26:S32))</f>
        <v>3106.4285714285716</v>
      </c>
      <c r="T47" s="139">
        <f>IF(T26=0,"no data", AVERAGE(T26:T32))</f>
        <v>3106.4285714285716</v>
      </c>
      <c r="U47" s="139">
        <f>IF(U26=0,"no data", SUM(U26:U32))</f>
        <v>20746</v>
      </c>
      <c r="V47" s="139">
        <f>IF(V26=0,"no data", SUM(V26:V32))</f>
        <v>21421</v>
      </c>
      <c r="W47" s="146">
        <f>IF(W26=0,"no data", AVERAGE(W26:W32))</f>
        <v>43</v>
      </c>
      <c r="X47" s="140">
        <f>IF(AND(X26=0,X27=0,X28=0,X29=0,X30=0,X31=0,X32=0),"No outage",SUM(X26:X32))</f>
        <v>251</v>
      </c>
      <c r="Y47" s="146">
        <f>IF(Y26=0,"no data", AVERAGE(Y26:Y32))</f>
        <v>45</v>
      </c>
      <c r="Z47" s="140">
        <f>IF(AND(Z26=0,Z27=0,Z28=0,Z29=0,Z30=0,Z31=0,Z32=0),"No outage",SUM(Z26:Z32))</f>
        <v>170</v>
      </c>
      <c r="AA47" s="140">
        <f>IF(AND(AA26=0,AA27=0,AA28=0,AA29=0,AA30=0,AA31=0,AA32=0),"No outage",SUM(AA26:AA32))</f>
        <v>399</v>
      </c>
      <c r="AB47" s="132">
        <f>IF(AA26=0,"no data", AVERAGE(AA26:AA32))</f>
        <v>57</v>
      </c>
      <c r="AC47" s="139">
        <f>IF(AC26=0,"no data", SUM(AC26:AC32))</f>
        <v>678</v>
      </c>
      <c r="AD47" s="139">
        <f>IF(AD26=0,"no data", SUM(AD26:AD32))</f>
        <v>-999</v>
      </c>
      <c r="AE47" s="146">
        <f t="shared" ref="AE47:AJ47" si="26">IF(AE26=0,"no data", AVERAGE(AE26:AE32))</f>
        <v>133</v>
      </c>
      <c r="AF47" s="138">
        <f t="shared" si="26"/>
        <v>0.95869137128535631</v>
      </c>
      <c r="AG47" s="140">
        <f t="shared" si="26"/>
        <v>143.85119047619048</v>
      </c>
      <c r="AH47" s="138">
        <f t="shared" si="26"/>
        <v>0.85851299548716742</v>
      </c>
      <c r="AI47" s="138">
        <f t="shared" si="26"/>
        <v>0.978334017515052</v>
      </c>
      <c r="AJ47" s="138">
        <f t="shared" si="26"/>
        <v>0.87645251778872457</v>
      </c>
      <c r="AK47" s="139">
        <f>IF(AK26=0,"no data", SUM(AK26:AK32))</f>
        <v>63.918999999999997</v>
      </c>
      <c r="AL47" s="140">
        <f>IF(AL26=0,"no data", AVERAGE(AL26:AL32))</f>
        <v>150.76999999999998</v>
      </c>
      <c r="AM47" s="140">
        <f>AK47*AL47</f>
        <v>9637.0676299999977</v>
      </c>
      <c r="AN47" s="140">
        <f>IF(AN26=0,"no data", SUM(AN26:AN32))</f>
        <v>172.185059</v>
      </c>
      <c r="AO47" s="140">
        <f>IF(AO26=0,"no data", AVERAGE(AO26:AO32))</f>
        <v>974.86026150425562</v>
      </c>
      <c r="AP47" s="140">
        <f>AN47*AO47</f>
        <v>167856.37164386568</v>
      </c>
      <c r="AQ47" s="144">
        <f>IF(AQ26=0,"no data", AVERAGE(AQ26:AQ32))</f>
        <v>8557.9965181509251</v>
      </c>
      <c r="AR47" s="135"/>
      <c r="AS47" s="136"/>
      <c r="BA47" s="113"/>
      <c r="BC47" s="114"/>
      <c r="BS47" s="5"/>
      <c r="BT47" s="5"/>
      <c r="BU47" s="6"/>
    </row>
    <row r="48" spans="1:84">
      <c r="B48" s="127" t="s">
        <v>180</v>
      </c>
      <c r="C48" s="140" t="e">
        <f>IF(#REF!=0,"no data", AVERAGE(#REF!))</f>
        <v>#REF!</v>
      </c>
      <c r="D48" s="140" t="e">
        <f>IF(#REF!=0,"no data", AVERAGE(#REF!))</f>
        <v>#REF!</v>
      </c>
      <c r="E48" s="140" t="e">
        <f>IF(#REF!=0,"no data", AVERAGE(#REF!))</f>
        <v>#REF!</v>
      </c>
      <c r="F48" s="140" t="e">
        <f>IF(#REF!=0,"no data", AVERAGE(#REF!))</f>
        <v>#REF!</v>
      </c>
      <c r="G48" s="140" t="e">
        <f>IF(#REF!=0,"no data", AVERAGE(#REF!))</f>
        <v>#REF!</v>
      </c>
      <c r="H48" s="137" t="e">
        <f>SUM(#REF!)+INT(SUM(#REF!)/60)</f>
        <v>#REF!</v>
      </c>
      <c r="I48" s="137" t="e">
        <f>SUM(#REF!)-INT(SUM(#REF!)/60)*60</f>
        <v>#REF!</v>
      </c>
      <c r="J48" s="137" t="e">
        <f>SUM(#REF!)+INT(SUM(#REF!)/60)</f>
        <v>#REF!</v>
      </c>
      <c r="K48" s="137" t="e">
        <f>SUM(#REF!)-INT(SUM(#REF!)/60)*60</f>
        <v>#REF!</v>
      </c>
      <c r="L48" s="137" t="e">
        <f>SUM(#REF!)+INT(SUM(#REF!)/60)</f>
        <v>#REF!</v>
      </c>
      <c r="M48" s="137" t="e">
        <f>SUM(#REF!)-INT(SUM(#REF!)/60)*60</f>
        <v>#REF!</v>
      </c>
      <c r="N48" s="137" t="e">
        <f>SUM(#REF!)+INT(SUM(#REF!)/60)</f>
        <v>#REF!</v>
      </c>
      <c r="O48" s="137" t="e">
        <f>SUM(#REF!)-INT(SUM(#REF!)/60)*60</f>
        <v>#REF!</v>
      </c>
      <c r="P48" s="137" t="e">
        <f>SUM(#REF!)+INT(SUM(#REF!)/60)</f>
        <v>#REF!</v>
      </c>
      <c r="Q48" s="137" t="e">
        <f>SUM(#REF!)-INT(SUM(#REF!)/60)*60</f>
        <v>#REF!</v>
      </c>
      <c r="R48" s="139" t="e">
        <f>IF(#REF!=0,"no data", AVERAGE(#REF!))</f>
        <v>#REF!</v>
      </c>
      <c r="S48" s="139" t="e">
        <f>IF(#REF!=0,"no data", AVERAGE(#REF!))</f>
        <v>#REF!</v>
      </c>
      <c r="T48" s="139" t="e">
        <f>IF(#REF!=0,"no data", AVERAGE(#REF!))</f>
        <v>#REF!</v>
      </c>
      <c r="U48" s="139" t="e">
        <f>IF(#REF!=0,"no data", SUM(#REF!))</f>
        <v>#REF!</v>
      </c>
      <c r="V48" s="139" t="e">
        <f>IF(#REF!=0,"no data", SUM(#REF!))</f>
        <v>#REF!</v>
      </c>
      <c r="W48" s="146" t="e">
        <f>IF(#REF!=0,"no data", AVERAGE(#REF!))</f>
        <v>#REF!</v>
      </c>
      <c r="X48" s="140" t="e">
        <f>IF(AND(#REF!=0,#REF!=0,#REF!=0,#REF!=0,#REF!=0,#REF!=0,#REF!=0),"No outage",SUM(#REF!))</f>
        <v>#REF!</v>
      </c>
      <c r="Y48" s="146" t="e">
        <f>IF(#REF!=0,"no data", AVERAGE(#REF!))</f>
        <v>#REF!</v>
      </c>
      <c r="Z48" s="140" t="e">
        <f>IF(AND(#REF!=0,#REF!=0,#REF!=0,#REF!=0,#REF!=0,#REF!=0,#REF!=0),"No outage",SUM(#REF!))</f>
        <v>#REF!</v>
      </c>
      <c r="AA48" s="140" t="e">
        <f>IF(AND(#REF!=0,#REF!=0,#REF!=0,#REF!=0,#REF!=0,#REF!=0,#REF!=0),"No outage",SUM(#REF!))</f>
        <v>#REF!</v>
      </c>
      <c r="AB48" s="132" t="e">
        <f>IF(#REF!=0,"no data", AVERAGE(#REF!))</f>
        <v>#REF!</v>
      </c>
      <c r="AC48" s="139" t="e">
        <f>IF(#REF!=0,"no data", SUM(#REF!))</f>
        <v>#REF!</v>
      </c>
      <c r="AD48" s="139" t="e">
        <f>IF(#REF!=0,"no data", SUM(#REF!))</f>
        <v>#REF!</v>
      </c>
      <c r="AE48" s="146" t="e">
        <f>IF(#REF!=0,"no data", AVERAGE(#REF!))</f>
        <v>#REF!</v>
      </c>
      <c r="AF48" s="138" t="e">
        <f>IF(#REF!=0,"no data", AVERAGE(#REF!))</f>
        <v>#REF!</v>
      </c>
      <c r="AG48" s="140" t="e">
        <f>IF(#REF!=0,"no data", AVERAGE(#REF!))</f>
        <v>#REF!</v>
      </c>
      <c r="AH48" s="138" t="e">
        <f>IF(#REF!=0,"no data", AVERAGE(#REF!))</f>
        <v>#REF!</v>
      </c>
      <c r="AI48" s="138" t="e">
        <f>IF(AI27=0,"no data", AVERAGE(#REF!))</f>
        <v>#REF!</v>
      </c>
      <c r="AJ48" s="138" t="e">
        <f>IF(#REF!=0,"no data", AVERAGE(#REF!))</f>
        <v>#REF!</v>
      </c>
      <c r="AK48" s="139" t="e">
        <f>IF(#REF!=0,"no data", SUM(#REF!))</f>
        <v>#REF!</v>
      </c>
      <c r="AL48" s="140" t="e">
        <f>IF(#REF!=0,"no data", AVERAGE(#REF!))</f>
        <v>#REF!</v>
      </c>
      <c r="AM48" s="140" t="e">
        <f>AK48*AL48</f>
        <v>#REF!</v>
      </c>
      <c r="AN48" s="140" t="e">
        <f>IF(#REF!=0,"no data", SUM(#REF!))</f>
        <v>#REF!</v>
      </c>
      <c r="AO48" s="140" t="e">
        <f>IF(#REF!=0,"no data", AVERAGE(#REF!))</f>
        <v>#REF!</v>
      </c>
      <c r="AP48" s="140" t="e">
        <f>AN48*AO48</f>
        <v>#REF!</v>
      </c>
      <c r="AQ48" s="140" t="e">
        <f>IF(#REF!=0,"no data", AVERAGE(#REF!))</f>
        <v>#REF!</v>
      </c>
      <c r="AR48" s="135"/>
      <c r="AS48" s="136"/>
      <c r="BA48" s="113"/>
      <c r="BC48" s="114"/>
      <c r="BS48" s="5"/>
      <c r="BT48" s="5"/>
      <c r="BU48" s="6"/>
    </row>
    <row r="49" spans="2:73">
      <c r="B49" s="147"/>
      <c r="C49" s="148"/>
      <c r="D49" s="148"/>
      <c r="E49" s="148"/>
      <c r="F49" s="148"/>
      <c r="G49" s="149"/>
      <c r="H49" s="149"/>
      <c r="I49" s="149"/>
      <c r="J49" s="149"/>
      <c r="K49" s="150"/>
      <c r="L49" s="150"/>
      <c r="M49" s="150"/>
      <c r="N49" s="150"/>
      <c r="O49" s="151"/>
      <c r="P49" s="151"/>
      <c r="Q49" s="148"/>
      <c r="R49" s="148"/>
      <c r="S49" s="148"/>
      <c r="T49" s="148"/>
      <c r="U49" s="148"/>
      <c r="V49" s="148"/>
      <c r="W49" s="148"/>
      <c r="X49" s="148"/>
      <c r="Y49" s="148"/>
      <c r="Z49" s="148"/>
      <c r="AA49" s="148"/>
      <c r="AB49" s="148"/>
      <c r="AC49" s="151"/>
      <c r="AD49" s="151"/>
      <c r="AE49" s="148"/>
      <c r="AF49" s="151"/>
      <c r="AG49" s="151"/>
      <c r="AH49" s="148"/>
      <c r="AI49" s="148"/>
      <c r="AJ49" s="148"/>
      <c r="AK49" s="148"/>
      <c r="AL49" s="148"/>
      <c r="AM49" s="148"/>
      <c r="AQ49" s="126"/>
      <c r="AR49" s="126"/>
      <c r="AS49" s="126"/>
      <c r="AT49" s="126"/>
      <c r="BA49" s="113"/>
      <c r="BC49" s="114"/>
      <c r="BS49" s="5"/>
      <c r="BT49" s="5"/>
      <c r="BU49" s="6"/>
    </row>
    <row r="50" spans="2:73" ht="15.75" thickBot="1">
      <c r="B50" s="147"/>
      <c r="C50" s="148"/>
      <c r="D50" s="148"/>
      <c r="E50" s="148"/>
      <c r="F50" s="148"/>
      <c r="G50" s="149"/>
      <c r="H50" s="149"/>
      <c r="I50" s="149"/>
      <c r="J50" s="149"/>
      <c r="K50" s="150"/>
      <c r="L50" s="150"/>
      <c r="M50" s="150"/>
      <c r="N50" s="150"/>
      <c r="O50" s="151"/>
      <c r="P50" s="151"/>
      <c r="Q50" s="148"/>
      <c r="R50" s="148"/>
      <c r="S50" s="148"/>
      <c r="T50" s="148"/>
      <c r="U50" s="148"/>
      <c r="V50" s="148"/>
      <c r="W50" s="148"/>
      <c r="X50" s="148"/>
      <c r="Y50" s="148"/>
      <c r="Z50" s="148"/>
      <c r="AA50" s="148"/>
      <c r="AB50" s="148"/>
      <c r="AC50" s="151"/>
      <c r="AD50" s="151"/>
      <c r="AE50" s="148"/>
      <c r="AF50" s="151"/>
      <c r="AG50" s="151"/>
      <c r="AH50" s="148"/>
      <c r="AI50" s="148"/>
      <c r="AJ50" s="148"/>
      <c r="AK50" s="148"/>
      <c r="AL50" s="148"/>
      <c r="AM50" s="148"/>
      <c r="AQ50" s="126"/>
      <c r="AR50" s="126"/>
      <c r="AS50" s="126"/>
      <c r="AT50" s="126"/>
      <c r="BA50" s="113"/>
      <c r="BC50" s="114"/>
      <c r="BS50" s="5"/>
      <c r="BT50" s="5"/>
      <c r="BU50" s="6"/>
    </row>
    <row r="51" spans="2:73" ht="16.5" thickTop="1">
      <c r="B51" s="152" t="s">
        <v>121</v>
      </c>
      <c r="C51" s="430" t="s">
        <v>122</v>
      </c>
      <c r="D51" s="431"/>
      <c r="E51" s="431"/>
      <c r="F51" s="431"/>
      <c r="G51" s="431"/>
      <c r="H51" s="431"/>
      <c r="I51" s="431"/>
      <c r="J51" s="431"/>
      <c r="K51" s="431"/>
      <c r="L51" s="431"/>
      <c r="M51" s="431"/>
      <c r="N51" s="431"/>
      <c r="O51" s="431"/>
      <c r="P51" s="431"/>
      <c r="Q51" s="431"/>
      <c r="R51" s="431"/>
      <c r="S51" s="431"/>
      <c r="T51" s="431"/>
      <c r="U51" s="431"/>
      <c r="V51" s="431"/>
      <c r="W51" s="431"/>
      <c r="X51" s="431"/>
      <c r="Y51" s="431"/>
      <c r="Z51" s="431"/>
      <c r="AA51" s="431"/>
      <c r="AB51" s="431"/>
      <c r="AC51" s="431"/>
      <c r="AD51" s="431"/>
      <c r="AE51" s="432"/>
      <c r="AF51" s="151"/>
      <c r="AG51" s="151"/>
      <c r="AH51" s="148"/>
      <c r="AI51" s="148"/>
      <c r="AJ51" s="148"/>
      <c r="AK51" s="148"/>
      <c r="AL51" s="148"/>
      <c r="AM51" s="148"/>
      <c r="AQ51" s="126"/>
      <c r="AR51" s="126"/>
      <c r="AS51" s="126"/>
      <c r="AT51" s="126"/>
      <c r="BA51" s="113"/>
      <c r="BS51" s="5"/>
      <c r="BT51" s="5"/>
      <c r="BU51" s="6"/>
    </row>
    <row r="52" spans="2:73" ht="15.75">
      <c r="B52" s="153">
        <v>43221</v>
      </c>
      <c r="C52" s="416" t="s">
        <v>151</v>
      </c>
      <c r="D52" s="417"/>
      <c r="E52" s="417"/>
      <c r="F52" s="417"/>
      <c r="G52" s="417"/>
      <c r="H52" s="417"/>
      <c r="I52" s="417"/>
      <c r="J52" s="417"/>
      <c r="K52" s="417"/>
      <c r="L52" s="417"/>
      <c r="M52" s="417"/>
      <c r="N52" s="417"/>
      <c r="O52" s="417"/>
      <c r="P52" s="417"/>
      <c r="Q52" s="417"/>
      <c r="R52" s="417"/>
      <c r="S52" s="417"/>
      <c r="T52" s="417"/>
      <c r="U52" s="417"/>
      <c r="V52" s="417"/>
      <c r="W52" s="417"/>
      <c r="X52" s="417"/>
      <c r="Y52" s="417"/>
      <c r="Z52" s="417"/>
      <c r="AA52" s="417"/>
      <c r="AB52" s="417"/>
      <c r="AC52" s="417"/>
      <c r="AD52" s="417"/>
      <c r="AE52" s="418"/>
      <c r="AF52" s="151"/>
      <c r="AG52" s="151"/>
      <c r="AH52" s="148"/>
      <c r="AI52" s="148"/>
      <c r="AJ52" s="148"/>
      <c r="AK52" s="148"/>
      <c r="AL52" s="148"/>
      <c r="AM52" s="148"/>
      <c r="AQ52" s="126"/>
      <c r="AR52" s="126"/>
      <c r="AS52" s="126"/>
      <c r="AT52" s="126"/>
      <c r="BA52" s="113"/>
      <c r="BS52" s="5"/>
      <c r="BT52" s="5"/>
      <c r="BU52" s="6"/>
    </row>
    <row r="53" spans="2:73" ht="15.75">
      <c r="B53" s="153">
        <v>43222</v>
      </c>
      <c r="C53" s="416" t="s">
        <v>196</v>
      </c>
      <c r="D53" s="417"/>
      <c r="E53" s="417"/>
      <c r="F53" s="417"/>
      <c r="G53" s="417"/>
      <c r="H53" s="417"/>
      <c r="I53" s="417"/>
      <c r="J53" s="417"/>
      <c r="K53" s="417"/>
      <c r="L53" s="417"/>
      <c r="M53" s="417"/>
      <c r="N53" s="417"/>
      <c r="O53" s="417"/>
      <c r="P53" s="417"/>
      <c r="Q53" s="417"/>
      <c r="R53" s="417"/>
      <c r="S53" s="417"/>
      <c r="T53" s="417"/>
      <c r="U53" s="417"/>
      <c r="V53" s="417"/>
      <c r="W53" s="417"/>
      <c r="X53" s="417"/>
      <c r="Y53" s="417"/>
      <c r="Z53" s="417"/>
      <c r="AA53" s="417"/>
      <c r="AB53" s="417"/>
      <c r="AC53" s="417"/>
      <c r="AD53" s="417"/>
      <c r="AE53" s="418"/>
      <c r="AF53" s="151"/>
      <c r="AG53" s="151"/>
      <c r="AH53" s="148"/>
      <c r="AI53" s="148"/>
      <c r="AJ53" s="148"/>
      <c r="AK53" s="148"/>
      <c r="AL53" s="148"/>
      <c r="AM53" s="148"/>
      <c r="AQ53" s="126"/>
      <c r="AR53" s="126"/>
      <c r="AS53" s="126"/>
      <c r="AT53" s="126"/>
      <c r="BA53" s="113"/>
      <c r="BS53" s="5"/>
      <c r="BT53" s="5"/>
      <c r="BU53" s="6"/>
    </row>
    <row r="54" spans="2:73" ht="15.75">
      <c r="B54" s="153">
        <v>43223</v>
      </c>
      <c r="C54" s="416" t="s">
        <v>197</v>
      </c>
      <c r="D54" s="417"/>
      <c r="E54" s="417"/>
      <c r="F54" s="417"/>
      <c r="G54" s="417"/>
      <c r="H54" s="417"/>
      <c r="I54" s="417"/>
      <c r="J54" s="417"/>
      <c r="K54" s="417"/>
      <c r="L54" s="417"/>
      <c r="M54" s="417"/>
      <c r="N54" s="417"/>
      <c r="O54" s="417"/>
      <c r="P54" s="417"/>
      <c r="Q54" s="417"/>
      <c r="R54" s="417"/>
      <c r="S54" s="417"/>
      <c r="T54" s="417"/>
      <c r="U54" s="417"/>
      <c r="V54" s="417"/>
      <c r="W54" s="417"/>
      <c r="X54" s="417"/>
      <c r="Y54" s="417"/>
      <c r="Z54" s="417"/>
      <c r="AA54" s="417"/>
      <c r="AB54" s="417"/>
      <c r="AC54" s="417"/>
      <c r="AD54" s="417"/>
      <c r="AE54" s="418"/>
      <c r="AF54" s="151"/>
      <c r="AG54" s="151"/>
      <c r="AH54" s="148"/>
      <c r="AI54" s="148"/>
      <c r="AJ54" s="148"/>
      <c r="AK54" s="148"/>
      <c r="AL54" s="148"/>
      <c r="AM54" s="148"/>
      <c r="AQ54" s="126"/>
      <c r="AR54" s="126"/>
      <c r="AS54" s="126"/>
      <c r="AT54" s="126"/>
      <c r="BA54" s="113"/>
      <c r="BS54" s="5"/>
      <c r="BT54" s="5"/>
      <c r="BU54" s="6"/>
    </row>
    <row r="55" spans="2:73" ht="15.75">
      <c r="B55" s="153">
        <v>43224</v>
      </c>
      <c r="C55" s="416" t="s">
        <v>151</v>
      </c>
      <c r="D55" s="417"/>
      <c r="E55" s="417"/>
      <c r="F55" s="417"/>
      <c r="G55" s="417"/>
      <c r="H55" s="417"/>
      <c r="I55" s="417"/>
      <c r="J55" s="417"/>
      <c r="K55" s="417"/>
      <c r="L55" s="417"/>
      <c r="M55" s="417"/>
      <c r="N55" s="417"/>
      <c r="O55" s="417"/>
      <c r="P55" s="417"/>
      <c r="Q55" s="417"/>
      <c r="R55" s="417"/>
      <c r="S55" s="417"/>
      <c r="T55" s="417"/>
      <c r="U55" s="417"/>
      <c r="V55" s="417"/>
      <c r="W55" s="417"/>
      <c r="X55" s="417"/>
      <c r="Y55" s="417"/>
      <c r="Z55" s="417"/>
      <c r="AA55" s="417"/>
      <c r="AB55" s="417"/>
      <c r="AC55" s="417"/>
      <c r="AD55" s="417"/>
      <c r="AE55" s="418"/>
      <c r="AF55" s="151"/>
      <c r="AG55" s="151"/>
      <c r="AH55" s="148"/>
      <c r="AI55" s="148"/>
      <c r="AJ55" s="148"/>
      <c r="AK55" s="148"/>
      <c r="AL55" s="148"/>
      <c r="AM55" s="148"/>
      <c r="AQ55" s="126"/>
      <c r="AR55" s="126"/>
      <c r="AS55" s="126"/>
      <c r="AT55" s="126"/>
      <c r="BA55" s="113"/>
      <c r="BS55" s="5"/>
      <c r="BT55" s="5"/>
      <c r="BU55" s="6"/>
    </row>
    <row r="56" spans="2:73" ht="15.75">
      <c r="B56" s="153">
        <v>43225</v>
      </c>
      <c r="C56" s="416" t="s">
        <v>198</v>
      </c>
      <c r="D56" s="417"/>
      <c r="E56" s="417"/>
      <c r="F56" s="417"/>
      <c r="G56" s="417"/>
      <c r="H56" s="417"/>
      <c r="I56" s="417"/>
      <c r="J56" s="417"/>
      <c r="K56" s="417"/>
      <c r="L56" s="417"/>
      <c r="M56" s="417"/>
      <c r="N56" s="417"/>
      <c r="O56" s="417"/>
      <c r="P56" s="417"/>
      <c r="Q56" s="417"/>
      <c r="R56" s="417"/>
      <c r="S56" s="417"/>
      <c r="T56" s="417"/>
      <c r="U56" s="417"/>
      <c r="V56" s="417"/>
      <c r="W56" s="417"/>
      <c r="X56" s="417"/>
      <c r="Y56" s="417"/>
      <c r="Z56" s="417"/>
      <c r="AA56" s="417"/>
      <c r="AB56" s="417"/>
      <c r="AC56" s="417"/>
      <c r="AD56" s="417"/>
      <c r="AE56" s="418"/>
      <c r="AF56" s="151"/>
      <c r="AG56" s="151"/>
      <c r="AH56" s="148"/>
      <c r="AI56" s="148"/>
      <c r="AJ56" s="148"/>
      <c r="AK56" s="148"/>
      <c r="AL56" s="148"/>
      <c r="AM56" s="148"/>
      <c r="AQ56" s="126"/>
      <c r="AR56" s="126"/>
      <c r="AS56" s="126"/>
      <c r="AT56" s="126"/>
      <c r="BA56" s="113"/>
      <c r="BS56" s="5"/>
      <c r="BT56" s="5"/>
      <c r="BU56" s="6"/>
    </row>
    <row r="57" spans="2:73" ht="15.75">
      <c r="B57" s="153">
        <v>43226</v>
      </c>
      <c r="C57" s="416" t="s">
        <v>199</v>
      </c>
      <c r="D57" s="417"/>
      <c r="E57" s="417"/>
      <c r="F57" s="417"/>
      <c r="G57" s="417"/>
      <c r="H57" s="417"/>
      <c r="I57" s="417"/>
      <c r="J57" s="417"/>
      <c r="K57" s="417"/>
      <c r="L57" s="417"/>
      <c r="M57" s="417"/>
      <c r="N57" s="417"/>
      <c r="O57" s="417"/>
      <c r="P57" s="417"/>
      <c r="Q57" s="417"/>
      <c r="R57" s="417"/>
      <c r="S57" s="417"/>
      <c r="T57" s="417"/>
      <c r="U57" s="417"/>
      <c r="V57" s="417"/>
      <c r="W57" s="417"/>
      <c r="X57" s="417"/>
      <c r="Y57" s="417"/>
      <c r="Z57" s="417"/>
      <c r="AA57" s="417"/>
      <c r="AB57" s="417"/>
      <c r="AC57" s="417"/>
      <c r="AD57" s="417"/>
      <c r="AE57" s="418"/>
      <c r="AF57" s="151"/>
      <c r="AG57" s="151"/>
      <c r="AH57" s="148"/>
      <c r="AI57" s="148"/>
      <c r="AJ57" s="148"/>
      <c r="AK57" s="148"/>
      <c r="AL57" s="148"/>
      <c r="AM57" s="148"/>
      <c r="AQ57" s="126"/>
      <c r="AR57" s="126"/>
      <c r="AS57" s="126"/>
      <c r="AT57" s="126"/>
      <c r="BA57" s="113"/>
      <c r="BS57" s="5"/>
      <c r="BT57" s="5"/>
      <c r="BU57" s="6"/>
    </row>
    <row r="58" spans="2:73" ht="15.75">
      <c r="B58" s="153">
        <v>43227</v>
      </c>
      <c r="C58" s="416" t="s">
        <v>197</v>
      </c>
      <c r="D58" s="417"/>
      <c r="E58" s="417"/>
      <c r="F58" s="417"/>
      <c r="G58" s="417"/>
      <c r="H58" s="417"/>
      <c r="I58" s="417"/>
      <c r="J58" s="417"/>
      <c r="K58" s="417"/>
      <c r="L58" s="417"/>
      <c r="M58" s="417"/>
      <c r="N58" s="417"/>
      <c r="O58" s="417"/>
      <c r="P58" s="417"/>
      <c r="Q58" s="417"/>
      <c r="R58" s="417"/>
      <c r="S58" s="417"/>
      <c r="T58" s="417"/>
      <c r="U58" s="417"/>
      <c r="V58" s="417"/>
      <c r="W58" s="417"/>
      <c r="X58" s="417"/>
      <c r="Y58" s="417"/>
      <c r="Z58" s="417"/>
      <c r="AA58" s="417"/>
      <c r="AB58" s="417"/>
      <c r="AC58" s="417"/>
      <c r="AD58" s="417"/>
      <c r="AE58" s="418"/>
      <c r="AF58" s="151"/>
      <c r="AG58" s="151"/>
      <c r="AH58" s="148"/>
      <c r="AI58" s="148"/>
      <c r="AJ58" s="148"/>
      <c r="AK58" s="148"/>
      <c r="AL58" s="148"/>
      <c r="AM58" s="148"/>
      <c r="AQ58" s="126"/>
      <c r="AR58" s="126"/>
      <c r="AS58" s="126"/>
      <c r="AT58" s="126"/>
      <c r="BA58" s="113"/>
      <c r="BS58" s="5"/>
      <c r="BT58" s="5"/>
      <c r="BU58" s="6"/>
    </row>
    <row r="59" spans="2:73" ht="15.75">
      <c r="B59" s="153">
        <v>43228</v>
      </c>
      <c r="C59" s="416" t="s">
        <v>151</v>
      </c>
      <c r="D59" s="417"/>
      <c r="E59" s="417"/>
      <c r="F59" s="417"/>
      <c r="G59" s="417"/>
      <c r="H59" s="417"/>
      <c r="I59" s="417"/>
      <c r="J59" s="417"/>
      <c r="K59" s="417"/>
      <c r="L59" s="417"/>
      <c r="M59" s="417"/>
      <c r="N59" s="417"/>
      <c r="O59" s="417"/>
      <c r="P59" s="417"/>
      <c r="Q59" s="417"/>
      <c r="R59" s="417"/>
      <c r="S59" s="417"/>
      <c r="T59" s="417"/>
      <c r="U59" s="417"/>
      <c r="V59" s="417"/>
      <c r="W59" s="417"/>
      <c r="X59" s="417"/>
      <c r="Y59" s="417"/>
      <c r="Z59" s="417"/>
      <c r="AA59" s="417"/>
      <c r="AB59" s="417"/>
      <c r="AC59" s="417"/>
      <c r="AD59" s="417"/>
      <c r="AE59" s="418"/>
      <c r="AF59" s="151"/>
      <c r="AG59" s="151"/>
      <c r="AH59" s="148"/>
      <c r="AI59" s="148"/>
      <c r="AJ59" s="148"/>
      <c r="AK59" s="148"/>
      <c r="AL59" s="148"/>
      <c r="AM59" s="148"/>
      <c r="AQ59" s="126"/>
      <c r="AR59" s="126"/>
      <c r="AS59" s="126"/>
      <c r="AT59" s="126"/>
      <c r="BA59" s="113"/>
      <c r="BS59" s="5"/>
      <c r="BT59" s="5"/>
      <c r="BU59" s="6"/>
    </row>
    <row r="60" spans="2:73" ht="15.75">
      <c r="B60" s="153">
        <v>43229</v>
      </c>
      <c r="C60" s="416" t="s">
        <v>151</v>
      </c>
      <c r="D60" s="417"/>
      <c r="E60" s="417"/>
      <c r="F60" s="417"/>
      <c r="G60" s="417"/>
      <c r="H60" s="417"/>
      <c r="I60" s="417"/>
      <c r="J60" s="417"/>
      <c r="K60" s="417"/>
      <c r="L60" s="417"/>
      <c r="M60" s="417"/>
      <c r="N60" s="417"/>
      <c r="O60" s="417"/>
      <c r="P60" s="417"/>
      <c r="Q60" s="417"/>
      <c r="R60" s="417"/>
      <c r="S60" s="417"/>
      <c r="T60" s="417"/>
      <c r="U60" s="417"/>
      <c r="V60" s="417"/>
      <c r="W60" s="417"/>
      <c r="X60" s="417"/>
      <c r="Y60" s="417"/>
      <c r="Z60" s="417"/>
      <c r="AA60" s="417"/>
      <c r="AB60" s="417"/>
      <c r="AC60" s="417"/>
      <c r="AD60" s="417"/>
      <c r="AE60" s="418"/>
      <c r="AF60" s="151"/>
      <c r="AG60" s="151"/>
      <c r="AH60" s="148"/>
      <c r="AI60" s="148"/>
      <c r="AJ60" s="148"/>
      <c r="AK60" s="148"/>
      <c r="AL60" s="148"/>
      <c r="AM60" s="148"/>
      <c r="AQ60" s="126"/>
      <c r="AR60" s="126"/>
      <c r="AS60" s="126"/>
      <c r="AT60" s="126"/>
      <c r="BA60" s="113"/>
      <c r="BS60" s="5"/>
      <c r="BT60" s="5"/>
      <c r="BU60" s="6"/>
    </row>
    <row r="61" spans="2:73" ht="15.75">
      <c r="B61" s="153">
        <v>43230</v>
      </c>
      <c r="C61" s="416" t="s">
        <v>151</v>
      </c>
      <c r="D61" s="417"/>
      <c r="E61" s="417"/>
      <c r="F61" s="417"/>
      <c r="G61" s="417"/>
      <c r="H61" s="417"/>
      <c r="I61" s="417"/>
      <c r="J61" s="417"/>
      <c r="K61" s="417"/>
      <c r="L61" s="417"/>
      <c r="M61" s="417"/>
      <c r="N61" s="417"/>
      <c r="O61" s="417"/>
      <c r="P61" s="417"/>
      <c r="Q61" s="417"/>
      <c r="R61" s="417"/>
      <c r="S61" s="417"/>
      <c r="T61" s="417"/>
      <c r="U61" s="417"/>
      <c r="V61" s="417"/>
      <c r="W61" s="417"/>
      <c r="X61" s="417"/>
      <c r="Y61" s="417"/>
      <c r="Z61" s="417"/>
      <c r="AA61" s="417"/>
      <c r="AB61" s="417"/>
      <c r="AC61" s="417"/>
      <c r="AD61" s="417"/>
      <c r="AE61" s="418"/>
      <c r="AF61" s="151"/>
      <c r="AG61" s="151"/>
      <c r="AH61" s="148"/>
      <c r="AI61" s="148"/>
      <c r="AJ61" s="148"/>
      <c r="AK61" s="148"/>
      <c r="AL61" s="148"/>
      <c r="AM61" s="148"/>
      <c r="AQ61" s="126"/>
      <c r="AR61" s="126"/>
      <c r="AS61" s="126"/>
      <c r="AT61" s="126"/>
      <c r="BA61" s="113"/>
      <c r="BS61" s="5"/>
      <c r="BT61" s="5"/>
      <c r="BU61" s="6"/>
    </row>
    <row r="62" spans="2:73" ht="15.75">
      <c r="B62" s="153">
        <v>43231</v>
      </c>
      <c r="C62" s="416" t="s">
        <v>200</v>
      </c>
      <c r="D62" s="417"/>
      <c r="E62" s="417"/>
      <c r="F62" s="417"/>
      <c r="G62" s="417"/>
      <c r="H62" s="417"/>
      <c r="I62" s="417"/>
      <c r="J62" s="417"/>
      <c r="K62" s="417"/>
      <c r="L62" s="417"/>
      <c r="M62" s="417"/>
      <c r="N62" s="417"/>
      <c r="O62" s="417"/>
      <c r="P62" s="417"/>
      <c r="Q62" s="417"/>
      <c r="R62" s="417"/>
      <c r="S62" s="417"/>
      <c r="T62" s="417"/>
      <c r="U62" s="417"/>
      <c r="V62" s="417"/>
      <c r="W62" s="417"/>
      <c r="X62" s="417"/>
      <c r="Y62" s="417"/>
      <c r="Z62" s="417"/>
      <c r="AA62" s="417"/>
      <c r="AB62" s="417"/>
      <c r="AC62" s="417"/>
      <c r="AD62" s="417"/>
      <c r="AE62" s="418"/>
      <c r="AF62" s="151"/>
      <c r="AG62" s="151"/>
      <c r="AH62" s="148"/>
      <c r="AI62" s="148"/>
      <c r="AJ62" s="148"/>
      <c r="AK62" s="148"/>
      <c r="AL62" s="148"/>
      <c r="AM62" s="148"/>
      <c r="AQ62" s="126"/>
      <c r="AR62" s="126"/>
      <c r="AS62" s="126"/>
      <c r="AT62" s="126"/>
      <c r="BA62" s="113"/>
      <c r="BS62" s="5"/>
      <c r="BT62" s="5"/>
      <c r="BU62" s="6"/>
    </row>
    <row r="63" spans="2:73" ht="15.75">
      <c r="B63" s="153">
        <v>43232</v>
      </c>
      <c r="C63" s="416" t="s">
        <v>201</v>
      </c>
      <c r="D63" s="417"/>
      <c r="E63" s="417"/>
      <c r="F63" s="417"/>
      <c r="G63" s="417"/>
      <c r="H63" s="417"/>
      <c r="I63" s="417"/>
      <c r="J63" s="417"/>
      <c r="K63" s="417"/>
      <c r="L63" s="417"/>
      <c r="M63" s="417"/>
      <c r="N63" s="417"/>
      <c r="O63" s="417"/>
      <c r="P63" s="417"/>
      <c r="Q63" s="417"/>
      <c r="R63" s="417"/>
      <c r="S63" s="417"/>
      <c r="T63" s="417"/>
      <c r="U63" s="417"/>
      <c r="V63" s="417"/>
      <c r="W63" s="417"/>
      <c r="X63" s="417"/>
      <c r="Y63" s="417"/>
      <c r="Z63" s="417"/>
      <c r="AA63" s="417"/>
      <c r="AB63" s="417"/>
      <c r="AC63" s="417"/>
      <c r="AD63" s="417"/>
      <c r="AE63" s="418"/>
      <c r="AF63" s="151"/>
      <c r="AG63" s="151"/>
      <c r="AH63" s="148"/>
      <c r="AI63" s="148"/>
      <c r="AJ63" s="148"/>
      <c r="AK63" s="148"/>
      <c r="AL63" s="148"/>
      <c r="AM63" s="148"/>
      <c r="AQ63" s="126"/>
      <c r="AR63" s="126"/>
      <c r="AS63" s="126"/>
      <c r="AT63" s="126"/>
      <c r="BA63" s="113"/>
      <c r="BS63" s="5"/>
      <c r="BT63" s="5"/>
      <c r="BU63" s="6"/>
    </row>
    <row r="64" spans="2:73" ht="15.75">
      <c r="B64" s="153">
        <v>43233</v>
      </c>
      <c r="C64" s="416" t="s">
        <v>202</v>
      </c>
      <c r="D64" s="417"/>
      <c r="E64" s="417"/>
      <c r="F64" s="417"/>
      <c r="G64" s="417"/>
      <c r="H64" s="417"/>
      <c r="I64" s="417"/>
      <c r="J64" s="417"/>
      <c r="K64" s="417"/>
      <c r="L64" s="417"/>
      <c r="M64" s="417"/>
      <c r="N64" s="417"/>
      <c r="O64" s="417"/>
      <c r="P64" s="417"/>
      <c r="Q64" s="417"/>
      <c r="R64" s="417"/>
      <c r="S64" s="417"/>
      <c r="T64" s="417"/>
      <c r="U64" s="417"/>
      <c r="V64" s="417"/>
      <c r="W64" s="417"/>
      <c r="X64" s="417"/>
      <c r="Y64" s="417"/>
      <c r="Z64" s="417"/>
      <c r="AA64" s="417"/>
      <c r="AB64" s="417"/>
      <c r="AC64" s="417"/>
      <c r="AD64" s="417"/>
      <c r="AE64" s="418"/>
      <c r="AF64" s="151"/>
      <c r="AG64" s="151"/>
      <c r="AH64" s="148"/>
      <c r="AI64" s="148"/>
      <c r="AJ64" s="148"/>
      <c r="AK64" s="148"/>
      <c r="AL64" s="148"/>
      <c r="AM64" s="148"/>
      <c r="AQ64" s="126"/>
      <c r="AR64" s="126"/>
      <c r="AS64" s="126"/>
      <c r="AT64" s="126"/>
      <c r="BA64" s="113"/>
      <c r="BS64" s="5"/>
      <c r="BT64" s="5"/>
      <c r="BU64" s="6"/>
    </row>
    <row r="65" spans="2:73" ht="15.75" customHeight="1">
      <c r="B65" s="153">
        <v>43234</v>
      </c>
      <c r="C65" s="416" t="s">
        <v>203</v>
      </c>
      <c r="D65" s="417"/>
      <c r="E65" s="417"/>
      <c r="F65" s="417"/>
      <c r="G65" s="417"/>
      <c r="H65" s="417"/>
      <c r="I65" s="417"/>
      <c r="J65" s="417"/>
      <c r="K65" s="417"/>
      <c r="L65" s="417"/>
      <c r="M65" s="417"/>
      <c r="N65" s="417"/>
      <c r="O65" s="417"/>
      <c r="P65" s="417"/>
      <c r="Q65" s="417"/>
      <c r="R65" s="417"/>
      <c r="S65" s="417"/>
      <c r="T65" s="417"/>
      <c r="U65" s="417"/>
      <c r="V65" s="417"/>
      <c r="W65" s="417"/>
      <c r="X65" s="417"/>
      <c r="Y65" s="417"/>
      <c r="Z65" s="417"/>
      <c r="AA65" s="417"/>
      <c r="AB65" s="417"/>
      <c r="AC65" s="417"/>
      <c r="AD65" s="417"/>
      <c r="AE65" s="418"/>
      <c r="AF65" s="151"/>
      <c r="AG65" s="151"/>
      <c r="AH65" s="148"/>
      <c r="AI65" s="148"/>
      <c r="AJ65" s="148"/>
      <c r="AK65" s="148"/>
      <c r="AL65" s="148"/>
      <c r="AM65" s="148"/>
      <c r="AQ65" s="126"/>
      <c r="AR65" s="126"/>
      <c r="AS65" s="126"/>
      <c r="AT65" s="126"/>
      <c r="BA65" s="113"/>
      <c r="BS65" s="5"/>
      <c r="BT65" s="5"/>
      <c r="BU65" s="6"/>
    </row>
    <row r="66" spans="2:73" ht="15.75">
      <c r="B66" s="153">
        <v>43235</v>
      </c>
      <c r="C66" s="416" t="s">
        <v>204</v>
      </c>
      <c r="D66" s="417"/>
      <c r="E66" s="417"/>
      <c r="F66" s="417"/>
      <c r="G66" s="417"/>
      <c r="H66" s="417"/>
      <c r="I66" s="417"/>
      <c r="J66" s="417"/>
      <c r="K66" s="417"/>
      <c r="L66" s="417"/>
      <c r="M66" s="417"/>
      <c r="N66" s="417"/>
      <c r="O66" s="417"/>
      <c r="P66" s="417"/>
      <c r="Q66" s="417"/>
      <c r="R66" s="417"/>
      <c r="S66" s="417"/>
      <c r="T66" s="417"/>
      <c r="U66" s="417"/>
      <c r="V66" s="417"/>
      <c r="W66" s="417"/>
      <c r="X66" s="417"/>
      <c r="Y66" s="417"/>
      <c r="Z66" s="417"/>
      <c r="AA66" s="417"/>
      <c r="AB66" s="417"/>
      <c r="AC66" s="417"/>
      <c r="AD66" s="417"/>
      <c r="AE66" s="418"/>
      <c r="AF66" s="151"/>
      <c r="AG66" s="151"/>
      <c r="AH66" s="148"/>
      <c r="AI66" s="148"/>
      <c r="AJ66" s="148"/>
      <c r="AK66" s="148"/>
      <c r="AL66" s="148"/>
      <c r="AM66" s="148"/>
      <c r="AQ66" s="126"/>
      <c r="AR66" s="126"/>
      <c r="AS66" s="126"/>
      <c r="AT66" s="126"/>
      <c r="BA66" s="113"/>
      <c r="BS66" s="5"/>
      <c r="BT66" s="5"/>
      <c r="BU66" s="6"/>
    </row>
    <row r="67" spans="2:73" ht="26.25" customHeight="1">
      <c r="B67" s="153">
        <v>43236</v>
      </c>
      <c r="C67" s="416" t="s">
        <v>205</v>
      </c>
      <c r="D67" s="417"/>
      <c r="E67" s="417"/>
      <c r="F67" s="417"/>
      <c r="G67" s="417"/>
      <c r="H67" s="417"/>
      <c r="I67" s="417"/>
      <c r="J67" s="417"/>
      <c r="K67" s="417"/>
      <c r="L67" s="417"/>
      <c r="M67" s="417"/>
      <c r="N67" s="417"/>
      <c r="O67" s="417"/>
      <c r="P67" s="417"/>
      <c r="Q67" s="417"/>
      <c r="R67" s="417"/>
      <c r="S67" s="417"/>
      <c r="T67" s="417"/>
      <c r="U67" s="417"/>
      <c r="V67" s="417"/>
      <c r="W67" s="417"/>
      <c r="X67" s="417"/>
      <c r="Y67" s="417"/>
      <c r="Z67" s="417"/>
      <c r="AA67" s="417"/>
      <c r="AB67" s="417"/>
      <c r="AC67" s="417"/>
      <c r="AD67" s="417"/>
      <c r="AE67" s="418"/>
      <c r="AF67" s="151"/>
      <c r="AG67" s="151"/>
      <c r="AH67" s="148"/>
      <c r="AI67" s="148"/>
      <c r="AJ67" s="148"/>
      <c r="AK67" s="148"/>
      <c r="AL67" s="148"/>
      <c r="AM67" s="148"/>
      <c r="AQ67" s="126"/>
      <c r="AR67" s="126"/>
      <c r="AS67" s="126"/>
      <c r="AT67" s="126"/>
      <c r="BA67" s="113"/>
      <c r="BS67" s="5"/>
      <c r="BT67" s="5"/>
      <c r="BU67" s="6"/>
    </row>
    <row r="68" spans="2:73" ht="15.75" customHeight="1">
      <c r="B68" s="153">
        <v>43237</v>
      </c>
      <c r="C68" s="416" t="s">
        <v>206</v>
      </c>
      <c r="D68" s="417"/>
      <c r="E68" s="417"/>
      <c r="F68" s="417"/>
      <c r="G68" s="417"/>
      <c r="H68" s="417"/>
      <c r="I68" s="417"/>
      <c r="J68" s="417"/>
      <c r="K68" s="417"/>
      <c r="L68" s="417"/>
      <c r="M68" s="417"/>
      <c r="N68" s="417"/>
      <c r="O68" s="417"/>
      <c r="P68" s="417"/>
      <c r="Q68" s="417"/>
      <c r="R68" s="417"/>
      <c r="S68" s="417"/>
      <c r="T68" s="417"/>
      <c r="U68" s="417"/>
      <c r="V68" s="417"/>
      <c r="W68" s="417"/>
      <c r="X68" s="417"/>
      <c r="Y68" s="417"/>
      <c r="Z68" s="417"/>
      <c r="AA68" s="417"/>
      <c r="AB68" s="417"/>
      <c r="AC68" s="417"/>
      <c r="AD68" s="417"/>
      <c r="AE68" s="418"/>
      <c r="AF68" s="151"/>
      <c r="AG68" s="151"/>
      <c r="AH68" s="148"/>
      <c r="AI68" s="148"/>
      <c r="AJ68" s="148"/>
      <c r="AK68" s="148"/>
      <c r="AL68" s="148"/>
      <c r="AM68" s="148"/>
      <c r="AQ68" s="126"/>
      <c r="AR68" s="126"/>
      <c r="AS68" s="126"/>
      <c r="AT68" s="126"/>
      <c r="BA68" s="113"/>
      <c r="BS68" s="5"/>
      <c r="BT68" s="5"/>
      <c r="BU68" s="6"/>
    </row>
    <row r="69" spans="2:73" ht="15.75" customHeight="1">
      <c r="B69" s="153">
        <v>43238</v>
      </c>
      <c r="C69" s="416" t="s">
        <v>207</v>
      </c>
      <c r="D69" s="417"/>
      <c r="E69" s="417"/>
      <c r="F69" s="417"/>
      <c r="G69" s="417"/>
      <c r="H69" s="417"/>
      <c r="I69" s="417"/>
      <c r="J69" s="417"/>
      <c r="K69" s="417"/>
      <c r="L69" s="417"/>
      <c r="M69" s="417"/>
      <c r="N69" s="417"/>
      <c r="O69" s="417"/>
      <c r="P69" s="417"/>
      <c r="Q69" s="417"/>
      <c r="R69" s="417"/>
      <c r="S69" s="417"/>
      <c r="T69" s="417"/>
      <c r="U69" s="417"/>
      <c r="V69" s="417"/>
      <c r="W69" s="417"/>
      <c r="X69" s="417"/>
      <c r="Y69" s="417"/>
      <c r="Z69" s="417"/>
      <c r="AA69" s="417"/>
      <c r="AB69" s="417"/>
      <c r="AC69" s="417"/>
      <c r="AD69" s="417"/>
      <c r="AE69" s="418"/>
      <c r="AF69" s="151"/>
      <c r="AG69" s="151"/>
      <c r="AH69" s="148"/>
      <c r="AI69" s="148"/>
      <c r="AJ69" s="148"/>
      <c r="AK69" s="148"/>
      <c r="AL69" s="148"/>
      <c r="AM69" s="148"/>
      <c r="AQ69" s="126"/>
      <c r="AR69" s="126"/>
      <c r="AS69" s="126"/>
      <c r="AT69" s="126"/>
      <c r="BA69" s="113"/>
      <c r="BS69" s="5"/>
      <c r="BT69" s="5"/>
      <c r="BU69" s="6"/>
    </row>
    <row r="70" spans="2:73" ht="15.75" customHeight="1">
      <c r="B70" s="153">
        <v>43239</v>
      </c>
      <c r="C70" s="416" t="s">
        <v>209</v>
      </c>
      <c r="D70" s="417"/>
      <c r="E70" s="417"/>
      <c r="F70" s="417"/>
      <c r="G70" s="417"/>
      <c r="H70" s="417"/>
      <c r="I70" s="417"/>
      <c r="J70" s="417"/>
      <c r="K70" s="417"/>
      <c r="L70" s="417"/>
      <c r="M70" s="417"/>
      <c r="N70" s="417"/>
      <c r="O70" s="417"/>
      <c r="P70" s="417"/>
      <c r="Q70" s="417"/>
      <c r="R70" s="417"/>
      <c r="S70" s="417"/>
      <c r="T70" s="417"/>
      <c r="U70" s="417"/>
      <c r="V70" s="417"/>
      <c r="W70" s="417"/>
      <c r="X70" s="417"/>
      <c r="Y70" s="417"/>
      <c r="Z70" s="417"/>
      <c r="AA70" s="417"/>
      <c r="AB70" s="417"/>
      <c r="AC70" s="417"/>
      <c r="AD70" s="417"/>
      <c r="AE70" s="418"/>
      <c r="AF70" s="151"/>
      <c r="AG70" s="151"/>
      <c r="AH70" s="148"/>
      <c r="AI70" s="148"/>
      <c r="AJ70" s="148"/>
      <c r="AK70" s="148"/>
      <c r="AL70" s="148"/>
      <c r="AM70" s="148"/>
      <c r="AQ70" s="126"/>
      <c r="AR70" s="126"/>
      <c r="AS70" s="126"/>
      <c r="AT70" s="126"/>
      <c r="BA70" s="113"/>
      <c r="BS70" s="5"/>
      <c r="BT70" s="5"/>
      <c r="BU70" s="6"/>
    </row>
    <row r="71" spans="2:73" ht="15.75" customHeight="1">
      <c r="B71" s="153">
        <v>43240</v>
      </c>
      <c r="C71" s="416" t="s">
        <v>208</v>
      </c>
      <c r="D71" s="417"/>
      <c r="E71" s="417"/>
      <c r="F71" s="417"/>
      <c r="G71" s="417"/>
      <c r="H71" s="417"/>
      <c r="I71" s="417"/>
      <c r="J71" s="417"/>
      <c r="K71" s="417"/>
      <c r="L71" s="417"/>
      <c r="M71" s="417"/>
      <c r="N71" s="417"/>
      <c r="O71" s="417"/>
      <c r="P71" s="417"/>
      <c r="Q71" s="417"/>
      <c r="R71" s="417"/>
      <c r="S71" s="417"/>
      <c r="T71" s="417"/>
      <c r="U71" s="417"/>
      <c r="V71" s="417"/>
      <c r="W71" s="417"/>
      <c r="X71" s="417"/>
      <c r="Y71" s="417"/>
      <c r="Z71" s="417"/>
      <c r="AA71" s="417"/>
      <c r="AB71" s="417"/>
      <c r="AC71" s="417"/>
      <c r="AD71" s="417"/>
      <c r="AE71" s="418"/>
      <c r="AF71" s="151"/>
      <c r="AG71" s="151"/>
      <c r="AH71" s="148"/>
      <c r="AI71" s="148"/>
      <c r="AJ71" s="148"/>
      <c r="AK71" s="148"/>
      <c r="AL71" s="148"/>
      <c r="AM71" s="148"/>
      <c r="AQ71" s="126"/>
      <c r="AR71" s="126"/>
      <c r="AS71" s="126"/>
      <c r="AT71" s="126"/>
      <c r="BA71" s="113"/>
      <c r="BS71" s="5"/>
      <c r="BT71" s="5"/>
      <c r="BU71" s="6"/>
    </row>
    <row r="72" spans="2:73" ht="15.75">
      <c r="B72" s="153">
        <v>43241</v>
      </c>
      <c r="C72" s="416" t="s">
        <v>208</v>
      </c>
      <c r="D72" s="417"/>
      <c r="E72" s="417"/>
      <c r="F72" s="417"/>
      <c r="G72" s="417"/>
      <c r="H72" s="417"/>
      <c r="I72" s="417"/>
      <c r="J72" s="417"/>
      <c r="K72" s="417"/>
      <c r="L72" s="417"/>
      <c r="M72" s="417"/>
      <c r="N72" s="417"/>
      <c r="O72" s="417"/>
      <c r="P72" s="417"/>
      <c r="Q72" s="417"/>
      <c r="R72" s="417"/>
      <c r="S72" s="417"/>
      <c r="T72" s="417"/>
      <c r="U72" s="417"/>
      <c r="V72" s="417"/>
      <c r="W72" s="417"/>
      <c r="X72" s="417"/>
      <c r="Y72" s="417"/>
      <c r="Z72" s="417"/>
      <c r="AA72" s="417"/>
      <c r="AB72" s="417"/>
      <c r="AC72" s="417"/>
      <c r="AD72" s="417"/>
      <c r="AE72" s="418"/>
      <c r="AF72" s="151"/>
      <c r="AG72" s="151"/>
      <c r="AH72" s="148"/>
      <c r="AI72" s="148"/>
      <c r="AJ72" s="148"/>
      <c r="AK72" s="148"/>
      <c r="AL72" s="148"/>
      <c r="AM72" s="148"/>
      <c r="AQ72" s="126"/>
      <c r="AR72" s="126"/>
      <c r="AS72" s="126"/>
      <c r="AT72" s="126"/>
      <c r="BA72" s="113"/>
      <c r="BS72" s="5"/>
      <c r="BT72" s="5"/>
      <c r="BU72" s="6"/>
    </row>
    <row r="73" spans="2:73" ht="14.25" customHeight="1">
      <c r="B73" s="153">
        <v>43242</v>
      </c>
      <c r="C73" s="416" t="s">
        <v>215</v>
      </c>
      <c r="D73" s="417"/>
      <c r="E73" s="417"/>
      <c r="F73" s="417"/>
      <c r="G73" s="417"/>
      <c r="H73" s="417"/>
      <c r="I73" s="417"/>
      <c r="J73" s="417"/>
      <c r="K73" s="417"/>
      <c r="L73" s="417"/>
      <c r="M73" s="417"/>
      <c r="N73" s="417"/>
      <c r="O73" s="417"/>
      <c r="P73" s="417"/>
      <c r="Q73" s="417"/>
      <c r="R73" s="417"/>
      <c r="S73" s="417"/>
      <c r="T73" s="417"/>
      <c r="U73" s="417"/>
      <c r="V73" s="417"/>
      <c r="W73" s="417"/>
      <c r="X73" s="417"/>
      <c r="Y73" s="417"/>
      <c r="Z73" s="417"/>
      <c r="AA73" s="417"/>
      <c r="AB73" s="417"/>
      <c r="AC73" s="417"/>
      <c r="AD73" s="417"/>
      <c r="AE73" s="418"/>
      <c r="AF73" s="151"/>
      <c r="AG73" s="151"/>
      <c r="AH73" s="148"/>
      <c r="AI73" s="148"/>
      <c r="AJ73" s="148"/>
      <c r="AK73" s="148"/>
      <c r="AL73" s="148"/>
      <c r="AM73" s="148"/>
      <c r="AQ73" s="126"/>
      <c r="AR73" s="126"/>
      <c r="AS73" s="126"/>
      <c r="AT73" s="126"/>
      <c r="BA73" s="113"/>
      <c r="BS73" s="5"/>
      <c r="BT73" s="5"/>
      <c r="BU73" s="6"/>
    </row>
    <row r="74" spans="2:73" ht="28.5" customHeight="1">
      <c r="B74" s="153">
        <v>43243</v>
      </c>
      <c r="C74" s="416" t="s">
        <v>210</v>
      </c>
      <c r="D74" s="417"/>
      <c r="E74" s="417"/>
      <c r="F74" s="417"/>
      <c r="G74" s="417"/>
      <c r="H74" s="417"/>
      <c r="I74" s="417"/>
      <c r="J74" s="417"/>
      <c r="K74" s="417"/>
      <c r="L74" s="417"/>
      <c r="M74" s="417"/>
      <c r="N74" s="417"/>
      <c r="O74" s="417"/>
      <c r="P74" s="417"/>
      <c r="Q74" s="417"/>
      <c r="R74" s="417"/>
      <c r="S74" s="417"/>
      <c r="T74" s="417"/>
      <c r="U74" s="417"/>
      <c r="V74" s="417"/>
      <c r="W74" s="417"/>
      <c r="X74" s="417"/>
      <c r="Y74" s="417"/>
      <c r="Z74" s="417"/>
      <c r="AA74" s="417"/>
      <c r="AB74" s="417"/>
      <c r="AC74" s="417"/>
      <c r="AD74" s="417"/>
      <c r="AE74" s="418"/>
      <c r="AF74" s="151"/>
      <c r="AG74" s="151"/>
      <c r="AH74" s="148"/>
      <c r="AI74" s="148"/>
      <c r="AJ74" s="148"/>
      <c r="AK74" s="148"/>
      <c r="AL74" s="148"/>
      <c r="AM74" s="148"/>
      <c r="AQ74" s="126"/>
      <c r="AR74" s="126"/>
      <c r="AS74" s="126"/>
      <c r="AT74" s="126"/>
      <c r="BA74" s="113"/>
      <c r="BS74" s="5"/>
      <c r="BT74" s="5"/>
      <c r="BU74" s="6"/>
    </row>
    <row r="75" spans="2:73" ht="15.75" customHeight="1">
      <c r="B75" s="153">
        <v>43244</v>
      </c>
      <c r="C75" s="416" t="s">
        <v>208</v>
      </c>
      <c r="D75" s="417"/>
      <c r="E75" s="417"/>
      <c r="F75" s="417"/>
      <c r="G75" s="417"/>
      <c r="H75" s="417"/>
      <c r="I75" s="417"/>
      <c r="J75" s="417"/>
      <c r="K75" s="417"/>
      <c r="L75" s="417"/>
      <c r="M75" s="417"/>
      <c r="N75" s="417"/>
      <c r="O75" s="417"/>
      <c r="P75" s="417"/>
      <c r="Q75" s="417"/>
      <c r="R75" s="417"/>
      <c r="S75" s="417"/>
      <c r="T75" s="417"/>
      <c r="U75" s="417"/>
      <c r="V75" s="417"/>
      <c r="W75" s="417"/>
      <c r="X75" s="417"/>
      <c r="Y75" s="417"/>
      <c r="Z75" s="417"/>
      <c r="AA75" s="417"/>
      <c r="AB75" s="417"/>
      <c r="AC75" s="417"/>
      <c r="AD75" s="417"/>
      <c r="AE75" s="418"/>
      <c r="AF75" s="151"/>
      <c r="AG75" s="151"/>
      <c r="AH75" s="148"/>
      <c r="AI75" s="148"/>
      <c r="AJ75" s="148"/>
      <c r="AK75" s="148"/>
      <c r="AL75" s="148"/>
      <c r="AM75" s="148"/>
      <c r="AQ75" s="126"/>
      <c r="AR75" s="126"/>
      <c r="AS75" s="126"/>
      <c r="AT75" s="126"/>
      <c r="BA75" s="113"/>
      <c r="BS75" s="5"/>
      <c r="BT75" s="5"/>
      <c r="BU75" s="6"/>
    </row>
    <row r="76" spans="2:73" ht="15.75" customHeight="1">
      <c r="B76" s="153">
        <v>43245</v>
      </c>
      <c r="C76" s="416" t="s">
        <v>211</v>
      </c>
      <c r="D76" s="417"/>
      <c r="E76" s="417"/>
      <c r="F76" s="417"/>
      <c r="G76" s="417"/>
      <c r="H76" s="417"/>
      <c r="I76" s="417"/>
      <c r="J76" s="417"/>
      <c r="K76" s="417"/>
      <c r="L76" s="417"/>
      <c r="M76" s="417"/>
      <c r="N76" s="417"/>
      <c r="O76" s="417"/>
      <c r="P76" s="417"/>
      <c r="Q76" s="417"/>
      <c r="R76" s="417"/>
      <c r="S76" s="417"/>
      <c r="T76" s="417"/>
      <c r="U76" s="417"/>
      <c r="V76" s="417"/>
      <c r="W76" s="417"/>
      <c r="X76" s="417"/>
      <c r="Y76" s="417"/>
      <c r="Z76" s="417"/>
      <c r="AA76" s="417"/>
      <c r="AB76" s="417"/>
      <c r="AC76" s="417"/>
      <c r="AD76" s="417"/>
      <c r="AE76" s="418"/>
      <c r="AF76" s="151"/>
      <c r="AG76" s="151"/>
      <c r="AH76" s="148"/>
      <c r="AI76" s="148"/>
      <c r="AJ76" s="148"/>
      <c r="AK76" s="148"/>
      <c r="AL76" s="148"/>
      <c r="AM76" s="148"/>
      <c r="AQ76" s="126"/>
      <c r="AR76" s="126"/>
      <c r="AS76" s="126"/>
      <c r="AT76" s="126"/>
      <c r="BA76" s="113"/>
      <c r="BS76" s="5"/>
      <c r="BT76" s="5"/>
      <c r="BU76" s="6"/>
    </row>
    <row r="77" spans="2:73" ht="15.75">
      <c r="B77" s="153">
        <v>43246</v>
      </c>
      <c r="C77" s="416" t="s">
        <v>212</v>
      </c>
      <c r="D77" s="417"/>
      <c r="E77" s="417"/>
      <c r="F77" s="417"/>
      <c r="G77" s="417"/>
      <c r="H77" s="417"/>
      <c r="I77" s="417"/>
      <c r="J77" s="417"/>
      <c r="K77" s="417"/>
      <c r="L77" s="417"/>
      <c r="M77" s="417"/>
      <c r="N77" s="417"/>
      <c r="O77" s="417"/>
      <c r="P77" s="417"/>
      <c r="Q77" s="417"/>
      <c r="R77" s="417"/>
      <c r="S77" s="417"/>
      <c r="T77" s="417"/>
      <c r="U77" s="417"/>
      <c r="V77" s="417"/>
      <c r="W77" s="417"/>
      <c r="X77" s="417"/>
      <c r="Y77" s="417"/>
      <c r="Z77" s="417"/>
      <c r="AA77" s="417"/>
      <c r="AB77" s="417"/>
      <c r="AC77" s="417"/>
      <c r="AD77" s="417"/>
      <c r="AE77" s="418"/>
      <c r="AF77" s="151"/>
      <c r="AG77" s="151"/>
      <c r="AH77" s="148"/>
      <c r="AI77" s="148"/>
      <c r="AJ77" s="148"/>
      <c r="AK77" s="148"/>
      <c r="AL77" s="148"/>
      <c r="AM77" s="148"/>
      <c r="AQ77" s="126"/>
      <c r="AR77" s="126"/>
      <c r="AS77" s="126"/>
      <c r="AT77" s="126"/>
      <c r="BA77" s="113"/>
      <c r="BS77" s="5"/>
      <c r="BT77" s="5"/>
      <c r="BU77" s="6"/>
    </row>
    <row r="78" spans="2:73" ht="15.75">
      <c r="B78" s="153">
        <v>43247</v>
      </c>
      <c r="C78" s="416" t="s">
        <v>211</v>
      </c>
      <c r="D78" s="417"/>
      <c r="E78" s="417"/>
      <c r="F78" s="417"/>
      <c r="G78" s="417"/>
      <c r="H78" s="417"/>
      <c r="I78" s="417"/>
      <c r="J78" s="417"/>
      <c r="K78" s="417"/>
      <c r="L78" s="417"/>
      <c r="M78" s="417"/>
      <c r="N78" s="417"/>
      <c r="O78" s="417"/>
      <c r="P78" s="417"/>
      <c r="Q78" s="417"/>
      <c r="R78" s="417"/>
      <c r="S78" s="417"/>
      <c r="T78" s="417"/>
      <c r="U78" s="417"/>
      <c r="V78" s="417"/>
      <c r="W78" s="417"/>
      <c r="X78" s="417"/>
      <c r="Y78" s="417"/>
      <c r="Z78" s="417"/>
      <c r="AA78" s="417"/>
      <c r="AB78" s="417"/>
      <c r="AC78" s="417"/>
      <c r="AD78" s="417"/>
      <c r="AE78" s="418"/>
      <c r="AF78" s="151"/>
      <c r="AG78" s="151"/>
      <c r="AH78" s="148"/>
      <c r="AI78" s="148"/>
      <c r="AJ78" s="148"/>
      <c r="AK78" s="148"/>
      <c r="AL78" s="148"/>
      <c r="AM78" s="148"/>
      <c r="AQ78" s="126"/>
      <c r="AR78" s="126"/>
      <c r="AS78" s="126"/>
      <c r="AT78" s="126"/>
      <c r="BA78" s="113"/>
      <c r="BS78" s="5"/>
      <c r="BT78" s="5"/>
      <c r="BU78" s="6"/>
    </row>
    <row r="79" spans="2:73" ht="15.75">
      <c r="B79" s="153">
        <v>43248</v>
      </c>
      <c r="C79" s="416" t="s">
        <v>213</v>
      </c>
      <c r="D79" s="417"/>
      <c r="E79" s="417"/>
      <c r="F79" s="417"/>
      <c r="G79" s="417"/>
      <c r="H79" s="417"/>
      <c r="I79" s="417"/>
      <c r="J79" s="417"/>
      <c r="K79" s="417"/>
      <c r="L79" s="417"/>
      <c r="M79" s="417"/>
      <c r="N79" s="417"/>
      <c r="O79" s="417"/>
      <c r="P79" s="417"/>
      <c r="Q79" s="417"/>
      <c r="R79" s="417"/>
      <c r="S79" s="417"/>
      <c r="T79" s="417"/>
      <c r="U79" s="417"/>
      <c r="V79" s="417"/>
      <c r="W79" s="417"/>
      <c r="X79" s="417"/>
      <c r="Y79" s="417"/>
      <c r="Z79" s="417"/>
      <c r="AA79" s="417"/>
      <c r="AB79" s="417"/>
      <c r="AC79" s="417"/>
      <c r="AD79" s="417"/>
      <c r="AE79" s="418"/>
      <c r="AF79" s="151"/>
      <c r="AG79" s="151"/>
      <c r="AH79" s="148"/>
      <c r="AI79" s="148"/>
      <c r="AJ79" s="148"/>
      <c r="AK79" s="148"/>
      <c r="AL79" s="148"/>
      <c r="AM79" s="148"/>
      <c r="AQ79" s="126"/>
      <c r="AR79" s="126"/>
      <c r="AS79" s="126"/>
      <c r="AT79" s="126"/>
      <c r="BA79" s="113"/>
      <c r="BS79" s="5"/>
      <c r="BT79" s="5"/>
      <c r="BU79" s="6"/>
    </row>
    <row r="80" spans="2:73" ht="15.75">
      <c r="B80" s="153">
        <v>43249</v>
      </c>
      <c r="C80" s="416" t="s">
        <v>214</v>
      </c>
      <c r="D80" s="417"/>
      <c r="E80" s="417"/>
      <c r="F80" s="417"/>
      <c r="G80" s="417"/>
      <c r="H80" s="417"/>
      <c r="I80" s="417"/>
      <c r="J80" s="417"/>
      <c r="K80" s="417"/>
      <c r="L80" s="417"/>
      <c r="M80" s="417"/>
      <c r="N80" s="417"/>
      <c r="O80" s="417"/>
      <c r="P80" s="417"/>
      <c r="Q80" s="417"/>
      <c r="R80" s="417"/>
      <c r="S80" s="417"/>
      <c r="T80" s="417"/>
      <c r="U80" s="417"/>
      <c r="V80" s="417"/>
      <c r="W80" s="417"/>
      <c r="X80" s="417"/>
      <c r="Y80" s="417"/>
      <c r="Z80" s="417"/>
      <c r="AA80" s="417"/>
      <c r="AB80" s="417"/>
      <c r="AC80" s="417"/>
      <c r="AD80" s="417"/>
      <c r="AE80" s="418"/>
    </row>
    <row r="81" spans="2:31" ht="15.75">
      <c r="B81" s="153">
        <v>43250</v>
      </c>
      <c r="C81" s="416" t="s">
        <v>216</v>
      </c>
      <c r="D81" s="417"/>
      <c r="E81" s="417"/>
      <c r="F81" s="417"/>
      <c r="G81" s="417"/>
      <c r="H81" s="417"/>
      <c r="I81" s="417"/>
      <c r="J81" s="417"/>
      <c r="K81" s="417"/>
      <c r="L81" s="417"/>
      <c r="M81" s="417"/>
      <c r="N81" s="417"/>
      <c r="O81" s="417"/>
      <c r="P81" s="417"/>
      <c r="Q81" s="417"/>
      <c r="R81" s="417"/>
      <c r="S81" s="417"/>
      <c r="T81" s="417"/>
      <c r="U81" s="417"/>
      <c r="V81" s="417"/>
      <c r="W81" s="417"/>
      <c r="X81" s="417"/>
      <c r="Y81" s="417"/>
      <c r="Z81" s="417"/>
      <c r="AA81" s="417"/>
      <c r="AB81" s="417"/>
      <c r="AC81" s="417"/>
      <c r="AD81" s="417"/>
      <c r="AE81" s="418"/>
    </row>
    <row r="82" spans="2:31" ht="27.75" customHeight="1">
      <c r="B82" s="153">
        <v>43251</v>
      </c>
      <c r="C82" s="416" t="s">
        <v>217</v>
      </c>
      <c r="D82" s="417"/>
      <c r="E82" s="417"/>
      <c r="F82" s="417"/>
      <c r="G82" s="417"/>
      <c r="H82" s="417"/>
      <c r="I82" s="417"/>
      <c r="J82" s="417"/>
      <c r="K82" s="417"/>
      <c r="L82" s="417"/>
      <c r="M82" s="417"/>
      <c r="N82" s="417"/>
      <c r="O82" s="417"/>
      <c r="P82" s="417"/>
      <c r="Q82" s="417"/>
      <c r="R82" s="417"/>
      <c r="S82" s="417"/>
      <c r="T82" s="417"/>
      <c r="U82" s="417"/>
      <c r="V82" s="417"/>
      <c r="W82" s="417"/>
      <c r="X82" s="417"/>
      <c r="Y82" s="417"/>
      <c r="Z82" s="417"/>
      <c r="AA82" s="417"/>
      <c r="AB82" s="417"/>
      <c r="AC82" s="417"/>
      <c r="AD82" s="417"/>
      <c r="AE82" s="418"/>
    </row>
  </sheetData>
  <mergeCells count="116">
    <mergeCell ref="C81:AE81"/>
    <mergeCell ref="C82:AE82"/>
    <mergeCell ref="C75:AE75"/>
    <mergeCell ref="C76:AE76"/>
    <mergeCell ref="C77:AE77"/>
    <mergeCell ref="C78:AE78"/>
    <mergeCell ref="C79:AE79"/>
    <mergeCell ref="C80:AE80"/>
    <mergeCell ref="C69:AE69"/>
    <mergeCell ref="C70:AE70"/>
    <mergeCell ref="C71:AE71"/>
    <mergeCell ref="C72:AE72"/>
    <mergeCell ref="C73:AE73"/>
    <mergeCell ref="C74:AE74"/>
    <mergeCell ref="C63:AE63"/>
    <mergeCell ref="C64:AE64"/>
    <mergeCell ref="C65:AE65"/>
    <mergeCell ref="C66:AE66"/>
    <mergeCell ref="C67:AE67"/>
    <mergeCell ref="C68:AE68"/>
    <mergeCell ref="C57:AE57"/>
    <mergeCell ref="C58:AE58"/>
    <mergeCell ref="C59:AE59"/>
    <mergeCell ref="C60:AE60"/>
    <mergeCell ref="C61:AE61"/>
    <mergeCell ref="C62:AE62"/>
    <mergeCell ref="C51:AE51"/>
    <mergeCell ref="C52:AE52"/>
    <mergeCell ref="C53:AE53"/>
    <mergeCell ref="C54:AE54"/>
    <mergeCell ref="C55:AE55"/>
    <mergeCell ref="C56:AE56"/>
    <mergeCell ref="F43:G43"/>
    <mergeCell ref="H43:I43"/>
    <mergeCell ref="J43:K43"/>
    <mergeCell ref="L43:M43"/>
    <mergeCell ref="N43:O43"/>
    <mergeCell ref="P43:Q43"/>
    <mergeCell ref="A5:A11"/>
    <mergeCell ref="A12:A18"/>
    <mergeCell ref="A19:A25"/>
    <mergeCell ref="A26:A32"/>
    <mergeCell ref="A33:A39"/>
    <mergeCell ref="CA2:CA4"/>
    <mergeCell ref="CC2:CD2"/>
    <mergeCell ref="CE2:CF2"/>
    <mergeCell ref="H3:I3"/>
    <mergeCell ref="J3:K3"/>
    <mergeCell ref="L3:M3"/>
    <mergeCell ref="N3:O3"/>
    <mergeCell ref="BH3:BH4"/>
    <mergeCell ref="BI3:BI4"/>
    <mergeCell ref="BK3:BK4"/>
    <mergeCell ref="BR2:BR4"/>
    <mergeCell ref="BS2:BS4"/>
    <mergeCell ref="BT2:BT4"/>
    <mergeCell ref="BW2:BW4"/>
    <mergeCell ref="BX2:BX4"/>
    <mergeCell ref="BZ2:BZ4"/>
    <mergeCell ref="BV3:BV4"/>
    <mergeCell ref="BE2:BE4"/>
    <mergeCell ref="BF2:BF4"/>
    <mergeCell ref="BG2:BG4"/>
    <mergeCell ref="BL2:BM2"/>
    <mergeCell ref="BP2:BP4"/>
    <mergeCell ref="BQ2:BQ4"/>
    <mergeCell ref="BL3:BL4"/>
    <mergeCell ref="BM3:BM4"/>
    <mergeCell ref="BN3:BN4"/>
    <mergeCell ref="BO3:BO4"/>
    <mergeCell ref="AX2:AX4"/>
    <mergeCell ref="AY2:AY4"/>
    <mergeCell ref="AZ2:AZ4"/>
    <mergeCell ref="BB2:BB4"/>
    <mergeCell ref="BC2:BC4"/>
    <mergeCell ref="BD2:BD4"/>
    <mergeCell ref="AQ2:AQ4"/>
    <mergeCell ref="AR2:AR4"/>
    <mergeCell ref="AT2:AT4"/>
    <mergeCell ref="AU2:AU4"/>
    <mergeCell ref="AV2:AV4"/>
    <mergeCell ref="AW2:AW4"/>
    <mergeCell ref="AK2:AK4"/>
    <mergeCell ref="AL2:AL4"/>
    <mergeCell ref="AM2:AM4"/>
    <mergeCell ref="AN2:AN4"/>
    <mergeCell ref="AO2:AO4"/>
    <mergeCell ref="AP2:AP4"/>
    <mergeCell ref="AH2:AH4"/>
    <mergeCell ref="AI2:AI4"/>
    <mergeCell ref="AJ2:AJ4"/>
    <mergeCell ref="Y2:Y4"/>
    <mergeCell ref="Z2:Z4"/>
    <mergeCell ref="AA2:AA4"/>
    <mergeCell ref="AB2:AB4"/>
    <mergeCell ref="AC2:AC4"/>
    <mergeCell ref="AD2:AD4"/>
    <mergeCell ref="S2:S4"/>
    <mergeCell ref="T2:T4"/>
    <mergeCell ref="U2:U4"/>
    <mergeCell ref="V2:V4"/>
    <mergeCell ref="W2:W4"/>
    <mergeCell ref="X2:X4"/>
    <mergeCell ref="B1:AG1"/>
    <mergeCell ref="B2:B4"/>
    <mergeCell ref="C2:C4"/>
    <mergeCell ref="D2:D4"/>
    <mergeCell ref="E2:E4"/>
    <mergeCell ref="F2:G3"/>
    <mergeCell ref="H2:K2"/>
    <mergeCell ref="L2:O2"/>
    <mergeCell ref="P2:Q3"/>
    <mergeCell ref="R2:R4"/>
    <mergeCell ref="AE2:AE4"/>
    <mergeCell ref="AF2:AF4"/>
    <mergeCell ref="AG2:AG4"/>
  </mergeCells>
  <pageMargins left="0.7" right="0.7" top="0.75" bottom="0.75" header="0.3" footer="0.3"/>
  <pageSetup paperSize="9" orientation="portrait" r:id="rId1"/>
  <ignoredErrors>
    <ignoredError sqref="BF40:BG40 AF40:AG40 AI40:AJ40" evalError="1"/>
    <ignoredError sqref="BH40:BT40 AE40 AL40:AQ40 W40:Y40 C40:D40 E40:H40 AA40" evalError="1" formulaRange="1"/>
    <ignoredError sqref="BW40:BX40 BZ40:CA40 BB40:BD40 AT40:AZ40 S40:T40 AB40 K40:R40 J40 V40" formulaRange="1"/>
    <ignoredError sqref="AH40" evalError="1" formula="1"/>
    <ignoredError sqref="AK40 I40 Z40" evalError="1" formula="1" formulaRange="1"/>
    <ignoredError sqref="AM5:AM39 AP5:AP39 AC5:AD39" unlockedFormula="1"/>
    <ignoredError sqref="AR27" formula="1"/>
  </ignoredErrors>
</worksheet>
</file>

<file path=xl/worksheets/sheet6.xml><?xml version="1.0" encoding="utf-8"?>
<worksheet xmlns="http://schemas.openxmlformats.org/spreadsheetml/2006/main" xmlns:r="http://schemas.openxmlformats.org/officeDocument/2006/relationships">
  <dimension ref="A1:CF99"/>
  <sheetViews>
    <sheetView workbookViewId="0">
      <pane xSplit="2" ySplit="4" topLeftCell="C59" activePane="bottomRight" state="frozen"/>
      <selection pane="topRight" activeCell="C1" sqref="C1"/>
      <selection pane="bottomLeft" activeCell="A5" sqref="A5"/>
      <selection pane="bottomRight" activeCell="N30" sqref="N30"/>
    </sheetView>
  </sheetViews>
  <sheetFormatPr defaultRowHeight="15"/>
  <cols>
    <col min="2" max="2" width="10.140625" customWidth="1"/>
    <col min="37" max="37" width="9.5703125" bestFit="1" customWidth="1"/>
    <col min="39" max="39" width="9.5703125" customWidth="1"/>
    <col min="42" max="42" width="10" customWidth="1"/>
  </cols>
  <sheetData>
    <row r="1" spans="1:84" ht="18.75" thickBot="1">
      <c r="B1" s="490">
        <v>43252</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7"/>
      <c r="AI1" s="7"/>
      <c r="AJ1" s="7"/>
      <c r="AK1" s="8"/>
      <c r="AL1" s="8"/>
      <c r="AM1" s="8"/>
      <c r="AN1" s="8"/>
      <c r="AO1" s="8"/>
      <c r="AP1" s="8"/>
      <c r="AQ1" s="8"/>
      <c r="AR1" s="8"/>
      <c r="AS1" s="9"/>
      <c r="AT1" s="10"/>
      <c r="AU1" s="10"/>
      <c r="AV1" s="10"/>
      <c r="AW1" s="10"/>
      <c r="AX1" s="10"/>
      <c r="AY1" s="11"/>
      <c r="AZ1" s="11"/>
      <c r="BA1" s="4"/>
      <c r="BS1" s="5"/>
      <c r="BT1" s="5"/>
      <c r="BU1" s="6"/>
    </row>
    <row r="2" spans="1:84" ht="30.75" thickBot="1">
      <c r="A2" s="12"/>
      <c r="B2" s="491" t="s">
        <v>1</v>
      </c>
      <c r="C2" s="442" t="s">
        <v>2</v>
      </c>
      <c r="D2" s="494" t="s">
        <v>3</v>
      </c>
      <c r="E2" s="442" t="s">
        <v>130</v>
      </c>
      <c r="F2" s="497" t="s">
        <v>4</v>
      </c>
      <c r="G2" s="498"/>
      <c r="H2" s="477" t="s">
        <v>5</v>
      </c>
      <c r="I2" s="501"/>
      <c r="J2" s="501"/>
      <c r="K2" s="480"/>
      <c r="L2" s="477" t="s">
        <v>6</v>
      </c>
      <c r="M2" s="501"/>
      <c r="N2" s="501"/>
      <c r="O2" s="480"/>
      <c r="P2" s="502" t="s">
        <v>7</v>
      </c>
      <c r="Q2" s="503"/>
      <c r="R2" s="506" t="s">
        <v>8</v>
      </c>
      <c r="S2" s="422" t="s">
        <v>9</v>
      </c>
      <c r="T2" s="425" t="s">
        <v>10</v>
      </c>
      <c r="U2" s="433" t="s">
        <v>11</v>
      </c>
      <c r="V2" s="436" t="s">
        <v>12</v>
      </c>
      <c r="W2" s="439" t="s">
        <v>13</v>
      </c>
      <c r="X2" s="439" t="s">
        <v>14</v>
      </c>
      <c r="Y2" s="439" t="s">
        <v>15</v>
      </c>
      <c r="Z2" s="439" t="s">
        <v>16</v>
      </c>
      <c r="AA2" s="439" t="s">
        <v>17</v>
      </c>
      <c r="AB2" s="439" t="s">
        <v>18</v>
      </c>
      <c r="AC2" s="515" t="s">
        <v>19</v>
      </c>
      <c r="AD2" s="512" t="s">
        <v>20</v>
      </c>
      <c r="AE2" s="509" t="s">
        <v>21</v>
      </c>
      <c r="AF2" s="512" t="s">
        <v>22</v>
      </c>
      <c r="AG2" s="465" t="s">
        <v>23</v>
      </c>
      <c r="AH2" s="465" t="s">
        <v>24</v>
      </c>
      <c r="AI2" s="465" t="s">
        <v>25</v>
      </c>
      <c r="AJ2" s="468" t="s">
        <v>26</v>
      </c>
      <c r="AK2" s="518" t="s">
        <v>27</v>
      </c>
      <c r="AL2" s="419" t="s">
        <v>28</v>
      </c>
      <c r="AM2" s="468" t="s">
        <v>29</v>
      </c>
      <c r="AN2" s="419" t="s">
        <v>30</v>
      </c>
      <c r="AO2" s="419" t="s">
        <v>31</v>
      </c>
      <c r="AP2" s="468" t="s">
        <v>32</v>
      </c>
      <c r="AQ2" s="521" t="s">
        <v>33</v>
      </c>
      <c r="AR2" s="522" t="s">
        <v>34</v>
      </c>
      <c r="AS2" s="13"/>
      <c r="AT2" s="462" t="s">
        <v>35</v>
      </c>
      <c r="AU2" s="447" t="s">
        <v>36</v>
      </c>
      <c r="AV2" s="447" t="s">
        <v>37</v>
      </c>
      <c r="AW2" s="447" t="s">
        <v>38</v>
      </c>
      <c r="AX2" s="447" t="s">
        <v>39</v>
      </c>
      <c r="AY2" s="447" t="s">
        <v>40</v>
      </c>
      <c r="AZ2" s="447" t="s">
        <v>41</v>
      </c>
      <c r="BA2" s="4"/>
      <c r="BB2" s="447" t="s">
        <v>42</v>
      </c>
      <c r="BC2" s="447" t="s">
        <v>43</v>
      </c>
      <c r="BD2" s="447" t="s">
        <v>44</v>
      </c>
      <c r="BE2" s="447" t="s">
        <v>45</v>
      </c>
      <c r="BF2" s="447" t="s">
        <v>46</v>
      </c>
      <c r="BG2" s="447" t="s">
        <v>47</v>
      </c>
      <c r="BH2" s="14" t="s">
        <v>48</v>
      </c>
      <c r="BI2" s="14" t="s">
        <v>49</v>
      </c>
      <c r="BJ2" s="14" t="s">
        <v>50</v>
      </c>
      <c r="BK2" s="14" t="s">
        <v>51</v>
      </c>
      <c r="BL2" s="445" t="s">
        <v>52</v>
      </c>
      <c r="BM2" s="446"/>
      <c r="BN2" s="14" t="s">
        <v>53</v>
      </c>
      <c r="BO2" s="14" t="s">
        <v>54</v>
      </c>
      <c r="BP2" s="447" t="s">
        <v>55</v>
      </c>
      <c r="BQ2" s="484" t="s">
        <v>56</v>
      </c>
      <c r="BR2" s="484" t="s">
        <v>57</v>
      </c>
      <c r="BS2" s="481" t="s">
        <v>58</v>
      </c>
      <c r="BT2" s="481" t="s">
        <v>59</v>
      </c>
      <c r="BU2" s="6"/>
      <c r="BV2" s="14" t="s">
        <v>60</v>
      </c>
      <c r="BW2" s="447" t="s">
        <v>61</v>
      </c>
      <c r="BX2" s="447" t="s">
        <v>62</v>
      </c>
      <c r="BZ2" s="474" t="s">
        <v>63</v>
      </c>
      <c r="CA2" s="474" t="s">
        <v>64</v>
      </c>
      <c r="CC2" s="487" t="s">
        <v>124</v>
      </c>
      <c r="CD2" s="488"/>
      <c r="CE2" s="487" t="s">
        <v>128</v>
      </c>
      <c r="CF2" s="488"/>
    </row>
    <row r="3" spans="1:84" ht="26.25" thickBot="1">
      <c r="A3" s="16"/>
      <c r="B3" s="492"/>
      <c r="C3" s="443"/>
      <c r="D3" s="495"/>
      <c r="E3" s="443"/>
      <c r="F3" s="499"/>
      <c r="G3" s="500"/>
      <c r="H3" s="477" t="s">
        <v>65</v>
      </c>
      <c r="I3" s="478"/>
      <c r="J3" s="479" t="s">
        <v>66</v>
      </c>
      <c r="K3" s="480"/>
      <c r="L3" s="477" t="s">
        <v>65</v>
      </c>
      <c r="M3" s="478"/>
      <c r="N3" s="479" t="s">
        <v>66</v>
      </c>
      <c r="O3" s="480"/>
      <c r="P3" s="504"/>
      <c r="Q3" s="505"/>
      <c r="R3" s="507"/>
      <c r="S3" s="423"/>
      <c r="T3" s="426"/>
      <c r="U3" s="434"/>
      <c r="V3" s="437"/>
      <c r="W3" s="440"/>
      <c r="X3" s="440"/>
      <c r="Y3" s="440"/>
      <c r="Z3" s="440"/>
      <c r="AA3" s="440"/>
      <c r="AB3" s="440"/>
      <c r="AC3" s="516"/>
      <c r="AD3" s="513"/>
      <c r="AE3" s="510"/>
      <c r="AF3" s="513"/>
      <c r="AG3" s="466"/>
      <c r="AH3" s="466"/>
      <c r="AI3" s="466"/>
      <c r="AJ3" s="469"/>
      <c r="AK3" s="519"/>
      <c r="AL3" s="420"/>
      <c r="AM3" s="469"/>
      <c r="AN3" s="420"/>
      <c r="AO3" s="420"/>
      <c r="AP3" s="469"/>
      <c r="AQ3" s="521"/>
      <c r="AR3" s="523"/>
      <c r="AS3" s="13"/>
      <c r="AT3" s="463"/>
      <c r="AU3" s="440"/>
      <c r="AV3" s="440"/>
      <c r="AW3" s="440"/>
      <c r="AX3" s="440"/>
      <c r="AY3" s="440"/>
      <c r="AZ3" s="440"/>
      <c r="BA3" s="4"/>
      <c r="BB3" s="440"/>
      <c r="BC3" s="440"/>
      <c r="BD3" s="440"/>
      <c r="BE3" s="440"/>
      <c r="BF3" s="440"/>
      <c r="BG3" s="440"/>
      <c r="BH3" s="457" t="s">
        <v>67</v>
      </c>
      <c r="BI3" s="457" t="s">
        <v>67</v>
      </c>
      <c r="BJ3" s="17" t="s">
        <v>68</v>
      </c>
      <c r="BK3" s="449" t="s">
        <v>69</v>
      </c>
      <c r="BL3" s="449" t="s">
        <v>69</v>
      </c>
      <c r="BM3" s="449" t="s">
        <v>70</v>
      </c>
      <c r="BN3" s="457" t="s">
        <v>71</v>
      </c>
      <c r="BO3" s="457" t="s">
        <v>72</v>
      </c>
      <c r="BP3" s="440"/>
      <c r="BQ3" s="485"/>
      <c r="BR3" s="485"/>
      <c r="BS3" s="482"/>
      <c r="BT3" s="482"/>
      <c r="BU3" s="6"/>
      <c r="BV3" s="457" t="s">
        <v>67</v>
      </c>
      <c r="BW3" s="440"/>
      <c r="BX3" s="440"/>
      <c r="BZ3" s="475"/>
      <c r="CA3" s="475"/>
      <c r="CC3" s="211" t="s">
        <v>129</v>
      </c>
      <c r="CD3" s="210" t="s">
        <v>125</v>
      </c>
      <c r="CE3" s="211" t="s">
        <v>129</v>
      </c>
      <c r="CF3" s="210" t="s">
        <v>125</v>
      </c>
    </row>
    <row r="4" spans="1:84" ht="15.75" thickBot="1">
      <c r="A4" s="16"/>
      <c r="B4" s="493"/>
      <c r="C4" s="444"/>
      <c r="D4" s="496"/>
      <c r="E4" s="444"/>
      <c r="F4" s="18" t="s">
        <v>73</v>
      </c>
      <c r="G4" s="19" t="s">
        <v>74</v>
      </c>
      <c r="H4" s="336" t="s">
        <v>75</v>
      </c>
      <c r="I4" s="21" t="s">
        <v>76</v>
      </c>
      <c r="J4" s="21" t="s">
        <v>75</v>
      </c>
      <c r="K4" s="337" t="s">
        <v>76</v>
      </c>
      <c r="L4" s="23" t="s">
        <v>75</v>
      </c>
      <c r="M4" s="21" t="s">
        <v>76</v>
      </c>
      <c r="N4" s="21" t="s">
        <v>75</v>
      </c>
      <c r="O4" s="19" t="s">
        <v>76</v>
      </c>
      <c r="P4" s="21" t="s">
        <v>75</v>
      </c>
      <c r="Q4" s="19" t="s">
        <v>76</v>
      </c>
      <c r="R4" s="508"/>
      <c r="S4" s="424"/>
      <c r="T4" s="427"/>
      <c r="U4" s="435"/>
      <c r="V4" s="438"/>
      <c r="W4" s="441"/>
      <c r="X4" s="441"/>
      <c r="Y4" s="441"/>
      <c r="Z4" s="441"/>
      <c r="AA4" s="441"/>
      <c r="AB4" s="441"/>
      <c r="AC4" s="517"/>
      <c r="AD4" s="514"/>
      <c r="AE4" s="511"/>
      <c r="AF4" s="514"/>
      <c r="AG4" s="467"/>
      <c r="AH4" s="467"/>
      <c r="AI4" s="467"/>
      <c r="AJ4" s="470"/>
      <c r="AK4" s="520"/>
      <c r="AL4" s="421"/>
      <c r="AM4" s="470"/>
      <c r="AN4" s="421"/>
      <c r="AO4" s="421"/>
      <c r="AP4" s="470"/>
      <c r="AQ4" s="521"/>
      <c r="AR4" s="524"/>
      <c r="AS4" s="13"/>
      <c r="AT4" s="464"/>
      <c r="AU4" s="448"/>
      <c r="AV4" s="448"/>
      <c r="AW4" s="448"/>
      <c r="AX4" s="448"/>
      <c r="AY4" s="448"/>
      <c r="AZ4" s="448"/>
      <c r="BA4" s="4"/>
      <c r="BB4" s="448"/>
      <c r="BC4" s="448"/>
      <c r="BD4" s="448"/>
      <c r="BE4" s="448"/>
      <c r="BF4" s="448"/>
      <c r="BG4" s="448"/>
      <c r="BH4" s="458"/>
      <c r="BI4" s="458"/>
      <c r="BJ4" s="17" t="s">
        <v>77</v>
      </c>
      <c r="BK4" s="450"/>
      <c r="BL4" s="450"/>
      <c r="BM4" s="450"/>
      <c r="BN4" s="458"/>
      <c r="BO4" s="458"/>
      <c r="BP4" s="448"/>
      <c r="BQ4" s="486"/>
      <c r="BR4" s="486"/>
      <c r="BS4" s="483"/>
      <c r="BT4" s="483"/>
      <c r="BU4" s="6"/>
      <c r="BV4" s="458"/>
      <c r="BW4" s="448"/>
      <c r="BX4" s="448"/>
      <c r="BZ4" s="476"/>
      <c r="CA4" s="476"/>
      <c r="CC4" s="213" t="s">
        <v>126</v>
      </c>
      <c r="CD4" s="212" t="s">
        <v>127</v>
      </c>
      <c r="CE4" s="213" t="s">
        <v>126</v>
      </c>
      <c r="CF4" s="212" t="s">
        <v>127</v>
      </c>
    </row>
    <row r="5" spans="1:84" ht="15" customHeight="1">
      <c r="A5" s="451" t="s">
        <v>195</v>
      </c>
      <c r="B5" s="24">
        <v>43248</v>
      </c>
      <c r="C5" s="280">
        <v>97.22</v>
      </c>
      <c r="D5" s="281">
        <v>0.34150000000000003</v>
      </c>
      <c r="E5" s="282">
        <v>66.680000000000007</v>
      </c>
      <c r="F5" s="223">
        <v>108</v>
      </c>
      <c r="G5" s="223">
        <v>84</v>
      </c>
      <c r="H5" s="283">
        <v>24</v>
      </c>
      <c r="I5" s="283">
        <v>0</v>
      </c>
      <c r="J5" s="283">
        <v>24</v>
      </c>
      <c r="K5" s="283">
        <v>0</v>
      </c>
      <c r="L5" s="284">
        <v>0</v>
      </c>
      <c r="M5" s="284">
        <v>0</v>
      </c>
      <c r="N5" s="284">
        <v>0</v>
      </c>
      <c r="O5" s="284">
        <v>0</v>
      </c>
      <c r="P5" s="284">
        <v>0</v>
      </c>
      <c r="Q5" s="286">
        <v>0</v>
      </c>
      <c r="R5" s="285">
        <v>3422</v>
      </c>
      <c r="S5" s="286">
        <v>3068</v>
      </c>
      <c r="T5" s="286">
        <v>3068</v>
      </c>
      <c r="U5" s="286">
        <v>2995</v>
      </c>
      <c r="V5" s="287">
        <v>3100</v>
      </c>
      <c r="W5" s="283">
        <v>43</v>
      </c>
      <c r="X5" s="283">
        <v>0</v>
      </c>
      <c r="Y5" s="283">
        <v>45</v>
      </c>
      <c r="Z5" s="288">
        <v>0</v>
      </c>
      <c r="AA5" s="288">
        <v>57</v>
      </c>
      <c r="AB5" s="284">
        <v>0</v>
      </c>
      <c r="AC5" s="221">
        <f t="shared" ref="AC5:AC11" si="0">V5-U5+AZ5</f>
        <v>105</v>
      </c>
      <c r="AD5" s="222">
        <f t="shared" ref="AD5:AD11" si="1">U5-T5</f>
        <v>-73</v>
      </c>
      <c r="AE5" s="223">
        <v>131</v>
      </c>
      <c r="AF5" s="224">
        <f t="shared" ref="AF5:AF11" si="2">IF(AE5&gt;0, V5/(AE5*24),"no data")</f>
        <v>0.98600508905852413</v>
      </c>
      <c r="AG5" s="225">
        <f t="shared" ref="AG5:AG11" si="3">IF(R5&gt;0,R5/24,"no data")</f>
        <v>142.58333333333334</v>
      </c>
      <c r="AH5" s="224">
        <f t="shared" ref="AH5:AH11" si="4">IF(U5&gt;0,(U5/R5),"no data")</f>
        <v>0.87521917007597894</v>
      </c>
      <c r="AI5" s="226">
        <f t="shared" ref="AI5:AI11" si="5">IF(U5&gt;0,(1440-((W5*X5)+(Y5*Z5)+(AA5*AB5))/(W5+Y5+AA5))/1440,"no data")</f>
        <v>1</v>
      </c>
      <c r="AJ5" s="227">
        <f t="shared" ref="AJ5:AJ11" si="6">IF(U5&gt;0,(1440-((X5*W5+AT5*AU5)+(Z5*Y5+AV5*AW5)+(AA5*AB5+AX5*AY5))/(W5+Y5+AA5))/1440,"no data")</f>
        <v>0.89655172413793105</v>
      </c>
      <c r="AK5" s="255">
        <v>9.3230000000000004</v>
      </c>
      <c r="AL5" s="256">
        <v>151.62</v>
      </c>
      <c r="AM5" s="282">
        <f t="shared" ref="AM5:AM11" si="7">AK5*AL5</f>
        <v>1413.5532600000001</v>
      </c>
      <c r="AN5" s="255">
        <v>24.963000000000001</v>
      </c>
      <c r="AO5" s="323">
        <v>974.1</v>
      </c>
      <c r="AP5" s="290">
        <f t="shared" ref="AP5:AP11" si="8">AN5*AO5</f>
        <v>24316.458300000002</v>
      </c>
      <c r="AQ5" s="228">
        <f t="shared" ref="AQ5:AQ11" si="9">IF(U5&gt;0,((((AK5*AL5)+(AN5*AO5))/(U5*1000))*1000000),"no data")</f>
        <v>8590.9888347245414</v>
      </c>
      <c r="AR5" s="229">
        <f t="shared" ref="AR5:AR11" si="10">IF(S5&gt;0,S5/24, "no data")</f>
        <v>127.83333333333333</v>
      </c>
      <c r="AS5" s="291"/>
      <c r="AT5" s="223">
        <v>0</v>
      </c>
      <c r="AU5" s="292">
        <v>0</v>
      </c>
      <c r="AV5" s="292">
        <v>0</v>
      </c>
      <c r="AW5" s="223">
        <v>0</v>
      </c>
      <c r="AX5" s="292">
        <v>15</v>
      </c>
      <c r="AY5" s="223">
        <v>1440</v>
      </c>
      <c r="AZ5" s="223">
        <v>0</v>
      </c>
      <c r="BA5" s="4"/>
      <c r="BB5" s="242">
        <v>1019</v>
      </c>
      <c r="BC5" s="242">
        <v>1070</v>
      </c>
      <c r="BD5" s="242">
        <v>1011</v>
      </c>
      <c r="BE5" s="242">
        <f t="shared" ref="BE5:BE11" si="11">BC5-BB5</f>
        <v>51</v>
      </c>
      <c r="BF5" s="242">
        <f t="shared" ref="BF5:BF11" si="12">AQ5</f>
        <v>8590.9888347245414</v>
      </c>
      <c r="BG5" s="294">
        <f t="shared" ref="BG5:BG11" si="13">BD5/24</f>
        <v>42.125</v>
      </c>
      <c r="BH5" s="295">
        <v>0</v>
      </c>
      <c r="BI5" s="296">
        <v>0</v>
      </c>
      <c r="BJ5" s="297">
        <v>27</v>
      </c>
      <c r="BK5" s="298">
        <v>26.66</v>
      </c>
      <c r="BL5" s="298">
        <v>21.85</v>
      </c>
      <c r="BM5" s="298">
        <v>26.14</v>
      </c>
      <c r="BN5" s="299">
        <v>977.2</v>
      </c>
      <c r="BO5" s="298">
        <v>50.08</v>
      </c>
      <c r="BP5" s="300">
        <v>0.94069999999999998</v>
      </c>
      <c r="BQ5" s="298">
        <v>95.09</v>
      </c>
      <c r="BR5" s="297">
        <v>86.57</v>
      </c>
      <c r="BS5" s="242">
        <v>12287</v>
      </c>
      <c r="BT5" s="242">
        <v>11717</v>
      </c>
      <c r="BU5" s="301">
        <f t="shared" ref="BU5:BU11" si="14">BT5-BS5</f>
        <v>-570</v>
      </c>
      <c r="BV5" s="242">
        <v>0</v>
      </c>
      <c r="BW5" s="302">
        <v>0</v>
      </c>
      <c r="BX5" s="302">
        <v>0</v>
      </c>
      <c r="BZ5" s="302">
        <v>24</v>
      </c>
      <c r="CA5" s="302">
        <v>7.2</v>
      </c>
      <c r="CC5" s="302">
        <v>2.1</v>
      </c>
      <c r="CD5" s="302">
        <v>4.0999999999999996</v>
      </c>
      <c r="CE5" s="302">
        <v>2.1</v>
      </c>
      <c r="CF5" s="302">
        <v>0</v>
      </c>
    </row>
    <row r="6" spans="1:84">
      <c r="A6" s="452"/>
      <c r="B6" s="24">
        <v>43249</v>
      </c>
      <c r="C6" s="280">
        <v>96.22</v>
      </c>
      <c r="D6" s="281">
        <v>0.34799999999999998</v>
      </c>
      <c r="E6" s="282">
        <v>66.34</v>
      </c>
      <c r="F6" s="223">
        <v>108</v>
      </c>
      <c r="G6" s="223">
        <v>85</v>
      </c>
      <c r="H6" s="283">
        <v>24</v>
      </c>
      <c r="I6" s="283">
        <v>0</v>
      </c>
      <c r="J6" s="283">
        <v>24</v>
      </c>
      <c r="K6" s="283">
        <v>0</v>
      </c>
      <c r="L6" s="284">
        <v>0</v>
      </c>
      <c r="M6" s="284">
        <v>0</v>
      </c>
      <c r="N6" s="284">
        <v>0</v>
      </c>
      <c r="O6" s="284">
        <v>0</v>
      </c>
      <c r="P6" s="284">
        <v>0</v>
      </c>
      <c r="Q6" s="286">
        <v>0</v>
      </c>
      <c r="R6" s="285">
        <v>3432</v>
      </c>
      <c r="S6" s="286">
        <v>3066</v>
      </c>
      <c r="T6" s="286">
        <v>3066</v>
      </c>
      <c r="U6" s="286">
        <v>2997</v>
      </c>
      <c r="V6" s="287">
        <v>3095</v>
      </c>
      <c r="W6" s="283">
        <v>43</v>
      </c>
      <c r="X6" s="283">
        <v>0</v>
      </c>
      <c r="Y6" s="283">
        <v>45</v>
      </c>
      <c r="Z6" s="288">
        <v>0</v>
      </c>
      <c r="AA6" s="288">
        <v>57</v>
      </c>
      <c r="AB6" s="284">
        <v>0</v>
      </c>
      <c r="AC6" s="221">
        <f t="shared" si="0"/>
        <v>98</v>
      </c>
      <c r="AD6" s="222">
        <f t="shared" si="1"/>
        <v>-69</v>
      </c>
      <c r="AE6" s="223">
        <v>132</v>
      </c>
      <c r="AF6" s="224">
        <f t="shared" si="2"/>
        <v>0.97695707070707072</v>
      </c>
      <c r="AG6" s="225">
        <f t="shared" si="3"/>
        <v>143</v>
      </c>
      <c r="AH6" s="224">
        <f t="shared" si="4"/>
        <v>0.87325174825174823</v>
      </c>
      <c r="AI6" s="226">
        <f t="shared" si="5"/>
        <v>1</v>
      </c>
      <c r="AJ6" s="227">
        <f t="shared" si="6"/>
        <v>0.89655172413793105</v>
      </c>
      <c r="AK6" s="255">
        <v>9.32</v>
      </c>
      <c r="AL6" s="256">
        <v>151.25</v>
      </c>
      <c r="AM6" s="282">
        <f t="shared" si="7"/>
        <v>1409.65</v>
      </c>
      <c r="AN6" s="255">
        <v>24.869</v>
      </c>
      <c r="AO6" s="289">
        <v>973.06</v>
      </c>
      <c r="AP6" s="290">
        <f t="shared" si="8"/>
        <v>24199.029139999999</v>
      </c>
      <c r="AQ6" s="228">
        <f t="shared" si="9"/>
        <v>8544.7711511511516</v>
      </c>
      <c r="AR6" s="229">
        <f t="shared" si="10"/>
        <v>127.75</v>
      </c>
      <c r="AS6" s="291"/>
      <c r="AT6" s="223">
        <v>0</v>
      </c>
      <c r="AU6" s="292">
        <v>0</v>
      </c>
      <c r="AV6" s="292">
        <v>0</v>
      </c>
      <c r="AW6" s="223">
        <v>0</v>
      </c>
      <c r="AX6" s="292">
        <v>15</v>
      </c>
      <c r="AY6" s="223">
        <v>1440</v>
      </c>
      <c r="AZ6" s="223">
        <v>0</v>
      </c>
      <c r="BA6" s="4"/>
      <c r="BB6" s="242">
        <v>1019</v>
      </c>
      <c r="BC6" s="242">
        <v>1067</v>
      </c>
      <c r="BD6" s="242">
        <v>1009</v>
      </c>
      <c r="BE6" s="242">
        <f t="shared" si="11"/>
        <v>48</v>
      </c>
      <c r="BF6" s="242">
        <f t="shared" si="12"/>
        <v>8544.7711511511516</v>
      </c>
      <c r="BG6" s="294">
        <f t="shared" si="13"/>
        <v>42.041666666666664</v>
      </c>
      <c r="BH6" s="295">
        <v>0</v>
      </c>
      <c r="BI6" s="296">
        <v>0</v>
      </c>
      <c r="BJ6" s="297">
        <v>27</v>
      </c>
      <c r="BK6" s="298">
        <v>26.58</v>
      </c>
      <c r="BL6" s="298">
        <v>21.79</v>
      </c>
      <c r="BM6" s="298">
        <v>26.2</v>
      </c>
      <c r="BN6" s="299">
        <v>972.75</v>
      </c>
      <c r="BO6" s="298">
        <v>50.05</v>
      </c>
      <c r="BP6" s="300">
        <v>0.94079999999999997</v>
      </c>
      <c r="BQ6" s="298">
        <v>95.3</v>
      </c>
      <c r="BR6" s="297">
        <v>86.62</v>
      </c>
      <c r="BS6" s="242">
        <v>12259</v>
      </c>
      <c r="BT6" s="242">
        <v>11718</v>
      </c>
      <c r="BU6" s="301">
        <f t="shared" si="14"/>
        <v>-541</v>
      </c>
      <c r="BV6" s="242">
        <v>0</v>
      </c>
      <c r="BW6" s="302">
        <v>0</v>
      </c>
      <c r="BX6" s="302">
        <v>0</v>
      </c>
      <c r="BZ6" s="302">
        <v>24</v>
      </c>
      <c r="CA6" s="302">
        <v>5.7</v>
      </c>
      <c r="CC6" s="302">
        <v>2.1</v>
      </c>
      <c r="CD6" s="302">
        <v>4.0999999999999996</v>
      </c>
      <c r="CE6" s="302">
        <v>2.1</v>
      </c>
      <c r="CF6" s="302">
        <v>0</v>
      </c>
    </row>
    <row r="7" spans="1:84">
      <c r="A7" s="452"/>
      <c r="B7" s="24">
        <v>43250</v>
      </c>
      <c r="C7" s="280">
        <v>97</v>
      </c>
      <c r="D7" s="281">
        <v>0.374</v>
      </c>
      <c r="E7" s="282">
        <v>70</v>
      </c>
      <c r="F7" s="223">
        <v>109</v>
      </c>
      <c r="G7" s="223">
        <v>85</v>
      </c>
      <c r="H7" s="283">
        <v>24</v>
      </c>
      <c r="I7" s="283">
        <v>0</v>
      </c>
      <c r="J7" s="283">
        <v>24</v>
      </c>
      <c r="K7" s="283">
        <v>0</v>
      </c>
      <c r="L7" s="284">
        <v>0</v>
      </c>
      <c r="M7" s="284">
        <v>0</v>
      </c>
      <c r="N7" s="284">
        <v>0</v>
      </c>
      <c r="O7" s="284">
        <v>0</v>
      </c>
      <c r="P7" s="284">
        <v>0</v>
      </c>
      <c r="Q7" s="286">
        <v>0</v>
      </c>
      <c r="R7" s="285">
        <v>3425</v>
      </c>
      <c r="S7" s="286">
        <v>3029</v>
      </c>
      <c r="T7" s="286">
        <v>3029</v>
      </c>
      <c r="U7" s="286">
        <v>2953</v>
      </c>
      <c r="V7" s="287">
        <v>3050</v>
      </c>
      <c r="W7" s="283">
        <v>42</v>
      </c>
      <c r="X7" s="283">
        <v>0</v>
      </c>
      <c r="Y7" s="283">
        <v>44</v>
      </c>
      <c r="Z7" s="288">
        <v>0</v>
      </c>
      <c r="AA7" s="288">
        <v>57</v>
      </c>
      <c r="AB7" s="284">
        <v>0</v>
      </c>
      <c r="AC7" s="221">
        <f t="shared" si="0"/>
        <v>97</v>
      </c>
      <c r="AD7" s="222">
        <f t="shared" si="1"/>
        <v>-76</v>
      </c>
      <c r="AE7" s="223">
        <v>130</v>
      </c>
      <c r="AF7" s="224">
        <f t="shared" si="2"/>
        <v>0.97756410256410253</v>
      </c>
      <c r="AG7" s="225">
        <f t="shared" si="3"/>
        <v>142.70833333333334</v>
      </c>
      <c r="AH7" s="224">
        <f t="shared" si="4"/>
        <v>0.86218978102189781</v>
      </c>
      <c r="AI7" s="226">
        <f t="shared" si="5"/>
        <v>1</v>
      </c>
      <c r="AJ7" s="227">
        <f t="shared" si="6"/>
        <v>0.8951048951048951</v>
      </c>
      <c r="AK7" s="255">
        <v>9.2200000000000006</v>
      </c>
      <c r="AL7" s="256">
        <v>149.97</v>
      </c>
      <c r="AM7" s="282">
        <f t="shared" si="7"/>
        <v>1382.7234000000001</v>
      </c>
      <c r="AN7" s="255">
        <v>24.597000000000001</v>
      </c>
      <c r="AO7" s="289">
        <v>978.8</v>
      </c>
      <c r="AP7" s="290">
        <f t="shared" si="8"/>
        <v>24075.543600000001</v>
      </c>
      <c r="AQ7" s="228">
        <f t="shared" si="9"/>
        <v>8621.1537419573324</v>
      </c>
      <c r="AR7" s="229">
        <f t="shared" si="10"/>
        <v>126.20833333333333</v>
      </c>
      <c r="AS7" s="291"/>
      <c r="AT7" s="223">
        <v>0</v>
      </c>
      <c r="AU7" s="292">
        <v>0</v>
      </c>
      <c r="AV7" s="292">
        <v>0</v>
      </c>
      <c r="AW7" s="223">
        <v>0</v>
      </c>
      <c r="AX7" s="292">
        <v>15</v>
      </c>
      <c r="AY7" s="223">
        <v>1440</v>
      </c>
      <c r="AZ7" s="223">
        <v>0</v>
      </c>
      <c r="BA7" s="4"/>
      <c r="BB7" s="242">
        <v>1005</v>
      </c>
      <c r="BC7" s="242">
        <v>1047</v>
      </c>
      <c r="BD7" s="242">
        <v>998</v>
      </c>
      <c r="BE7" s="242">
        <f t="shared" si="11"/>
        <v>42</v>
      </c>
      <c r="BF7" s="242">
        <f t="shared" si="12"/>
        <v>8621.1537419573324</v>
      </c>
      <c r="BG7" s="294">
        <f t="shared" si="13"/>
        <v>41.583333333333336</v>
      </c>
      <c r="BH7" s="295">
        <v>0</v>
      </c>
      <c r="BI7" s="296">
        <v>0</v>
      </c>
      <c r="BJ7" s="297">
        <v>27</v>
      </c>
      <c r="BK7" s="298">
        <v>26.3</v>
      </c>
      <c r="BL7" s="298">
        <v>21.45</v>
      </c>
      <c r="BM7" s="298">
        <v>26.3</v>
      </c>
      <c r="BN7" s="299">
        <v>975.5</v>
      </c>
      <c r="BO7" s="298">
        <v>50.05</v>
      </c>
      <c r="BP7" s="300">
        <v>0.94040000000000001</v>
      </c>
      <c r="BQ7" s="298">
        <v>95.3</v>
      </c>
      <c r="BR7" s="297">
        <v>86.87</v>
      </c>
      <c r="BS7" s="242">
        <v>12288</v>
      </c>
      <c r="BT7" s="242">
        <v>11768</v>
      </c>
      <c r="BU7" s="301">
        <f t="shared" si="14"/>
        <v>-520</v>
      </c>
      <c r="BV7" s="242">
        <v>0</v>
      </c>
      <c r="BW7" s="302">
        <v>0</v>
      </c>
      <c r="BX7" s="302">
        <v>0</v>
      </c>
      <c r="BZ7" s="302">
        <v>23.8</v>
      </c>
      <c r="CA7" s="302">
        <v>7.2</v>
      </c>
      <c r="CC7" s="302">
        <v>2.2000000000000002</v>
      </c>
      <c r="CD7" s="302">
        <v>4.2</v>
      </c>
      <c r="CE7" s="302">
        <v>2</v>
      </c>
      <c r="CF7" s="302">
        <v>0</v>
      </c>
    </row>
    <row r="8" spans="1:84">
      <c r="A8" s="452"/>
      <c r="B8" s="24">
        <v>43251</v>
      </c>
      <c r="C8" s="280">
        <v>98</v>
      </c>
      <c r="D8" s="281">
        <v>0.39</v>
      </c>
      <c r="E8" s="282">
        <v>71</v>
      </c>
      <c r="F8" s="223">
        <v>109</v>
      </c>
      <c r="G8" s="223">
        <v>85</v>
      </c>
      <c r="H8" s="283">
        <v>15</v>
      </c>
      <c r="I8" s="283">
        <v>56</v>
      </c>
      <c r="J8" s="283">
        <v>17</v>
      </c>
      <c r="K8" s="283">
        <v>2</v>
      </c>
      <c r="L8" s="284">
        <v>0</v>
      </c>
      <c r="M8" s="284">
        <v>0</v>
      </c>
      <c r="N8" s="284">
        <v>0</v>
      </c>
      <c r="O8" s="284">
        <v>0</v>
      </c>
      <c r="P8" s="284">
        <v>0</v>
      </c>
      <c r="Q8" s="286">
        <v>0</v>
      </c>
      <c r="R8" s="285">
        <v>3413</v>
      </c>
      <c r="S8" s="286">
        <v>3019</v>
      </c>
      <c r="T8" s="286">
        <v>3019</v>
      </c>
      <c r="U8" s="286">
        <v>2086</v>
      </c>
      <c r="V8" s="287">
        <v>2163</v>
      </c>
      <c r="W8" s="283">
        <v>42</v>
      </c>
      <c r="X8" s="283">
        <v>465</v>
      </c>
      <c r="Y8" s="283">
        <v>44</v>
      </c>
      <c r="Z8" s="288">
        <v>307</v>
      </c>
      <c r="AA8" s="288">
        <v>57</v>
      </c>
      <c r="AB8" s="284">
        <v>417</v>
      </c>
      <c r="AC8" s="221">
        <f t="shared" si="0"/>
        <v>85</v>
      </c>
      <c r="AD8" s="222">
        <f t="shared" si="1"/>
        <v>-933</v>
      </c>
      <c r="AE8" s="223">
        <v>129</v>
      </c>
      <c r="AF8" s="224">
        <f t="shared" si="2"/>
        <v>0.6986434108527132</v>
      </c>
      <c r="AG8" s="225">
        <f t="shared" si="3"/>
        <v>142.20833333333334</v>
      </c>
      <c r="AH8" s="224">
        <f t="shared" si="4"/>
        <v>0.61119249926750663</v>
      </c>
      <c r="AI8" s="226">
        <f t="shared" si="5"/>
        <v>0.72413073038073039</v>
      </c>
      <c r="AJ8" s="227">
        <f t="shared" si="6"/>
        <v>0.61652583527583527</v>
      </c>
      <c r="AK8" s="255">
        <v>7.04</v>
      </c>
      <c r="AL8" s="256">
        <v>154.71</v>
      </c>
      <c r="AM8" s="282">
        <f t="shared" si="7"/>
        <v>1089.1584</v>
      </c>
      <c r="AN8" s="255">
        <v>17.768000000000001</v>
      </c>
      <c r="AO8" s="289">
        <v>980.37360000000001</v>
      </c>
      <c r="AP8" s="290">
        <f t="shared" si="8"/>
        <v>17419.278124799999</v>
      </c>
      <c r="AQ8" s="228">
        <f t="shared" si="9"/>
        <v>8872.6924855225316</v>
      </c>
      <c r="AR8" s="229">
        <f t="shared" si="10"/>
        <v>125.79166666666667</v>
      </c>
      <c r="AS8" s="291"/>
      <c r="AT8" s="223">
        <v>22</v>
      </c>
      <c r="AU8" s="292">
        <v>19</v>
      </c>
      <c r="AV8" s="292">
        <v>16</v>
      </c>
      <c r="AW8" s="223">
        <v>80</v>
      </c>
      <c r="AX8" s="292">
        <v>20</v>
      </c>
      <c r="AY8" s="223">
        <v>1023</v>
      </c>
      <c r="AZ8" s="223">
        <v>8</v>
      </c>
      <c r="BA8" s="4"/>
      <c r="BB8" s="242">
        <v>672</v>
      </c>
      <c r="BC8" s="242">
        <v>809</v>
      </c>
      <c r="BD8" s="242">
        <v>682</v>
      </c>
      <c r="BE8" s="242">
        <f t="shared" si="11"/>
        <v>137</v>
      </c>
      <c r="BF8" s="242">
        <f t="shared" si="12"/>
        <v>8872.6924855225316</v>
      </c>
      <c r="BG8" s="294">
        <f t="shared" si="13"/>
        <v>28.416666666666668</v>
      </c>
      <c r="BH8" s="295">
        <v>0</v>
      </c>
      <c r="BI8" s="296">
        <v>0</v>
      </c>
      <c r="BJ8" s="297">
        <v>27</v>
      </c>
      <c r="BK8" s="298">
        <v>17.8</v>
      </c>
      <c r="BL8" s="298">
        <v>16.88</v>
      </c>
      <c r="BM8" s="298">
        <v>20.25</v>
      </c>
      <c r="BN8" s="299">
        <v>976.9</v>
      </c>
      <c r="BO8" s="298">
        <v>50.05</v>
      </c>
      <c r="BP8" s="300">
        <v>0.93869999999999998</v>
      </c>
      <c r="BQ8" s="298">
        <v>96.15</v>
      </c>
      <c r="BR8" s="297">
        <v>86.9</v>
      </c>
      <c r="BS8" s="242">
        <v>12251</v>
      </c>
      <c r="BT8" s="242">
        <v>11700</v>
      </c>
      <c r="BU8" s="301">
        <f t="shared" si="14"/>
        <v>-551</v>
      </c>
      <c r="BV8" s="242">
        <v>0</v>
      </c>
      <c r="BW8" s="302">
        <v>0</v>
      </c>
      <c r="BX8" s="302">
        <v>0</v>
      </c>
      <c r="BZ8" s="302">
        <v>14.8</v>
      </c>
      <c r="CA8" s="302">
        <v>13.1</v>
      </c>
      <c r="CC8" s="302">
        <v>2.1</v>
      </c>
      <c r="CD8" s="302">
        <v>4.2</v>
      </c>
      <c r="CE8" s="302">
        <v>2.1</v>
      </c>
      <c r="CF8" s="302">
        <v>0</v>
      </c>
    </row>
    <row r="9" spans="1:84">
      <c r="A9" s="452"/>
      <c r="B9" s="24">
        <v>43252</v>
      </c>
      <c r="C9" s="280">
        <v>99</v>
      </c>
      <c r="D9" s="281">
        <v>0.35</v>
      </c>
      <c r="E9" s="282">
        <v>68</v>
      </c>
      <c r="F9" s="223">
        <v>111</v>
      </c>
      <c r="G9" s="223">
        <v>86</v>
      </c>
      <c r="H9" s="283">
        <v>24</v>
      </c>
      <c r="I9" s="283">
        <v>0</v>
      </c>
      <c r="J9" s="283">
        <v>24</v>
      </c>
      <c r="K9" s="283">
        <v>0</v>
      </c>
      <c r="L9" s="284">
        <v>0</v>
      </c>
      <c r="M9" s="284">
        <v>0</v>
      </c>
      <c r="N9" s="284">
        <v>0</v>
      </c>
      <c r="O9" s="284">
        <v>0</v>
      </c>
      <c r="P9" s="284">
        <v>0</v>
      </c>
      <c r="Q9" s="223">
        <v>0</v>
      </c>
      <c r="R9" s="285">
        <v>3403</v>
      </c>
      <c r="S9" s="286">
        <v>3041</v>
      </c>
      <c r="T9" s="286">
        <v>3041</v>
      </c>
      <c r="U9" s="286">
        <v>2976</v>
      </c>
      <c r="V9" s="287">
        <v>3075</v>
      </c>
      <c r="W9" s="283">
        <v>42</v>
      </c>
      <c r="X9" s="283">
        <v>0</v>
      </c>
      <c r="Y9" s="283">
        <v>44</v>
      </c>
      <c r="Z9" s="288">
        <v>0</v>
      </c>
      <c r="AA9" s="288">
        <v>57</v>
      </c>
      <c r="AB9" s="284">
        <v>0</v>
      </c>
      <c r="AC9" s="221">
        <f t="shared" si="0"/>
        <v>99</v>
      </c>
      <c r="AD9" s="222">
        <f t="shared" si="1"/>
        <v>-65</v>
      </c>
      <c r="AE9" s="223">
        <v>130</v>
      </c>
      <c r="AF9" s="224">
        <f t="shared" si="2"/>
        <v>0.98557692307692313</v>
      </c>
      <c r="AG9" s="225">
        <f t="shared" si="3"/>
        <v>141.79166666666666</v>
      </c>
      <c r="AH9" s="224">
        <f t="shared" si="4"/>
        <v>0.87452248016456069</v>
      </c>
      <c r="AI9" s="226">
        <f t="shared" si="5"/>
        <v>1</v>
      </c>
      <c r="AJ9" s="227">
        <f t="shared" si="6"/>
        <v>0.8951048951048951</v>
      </c>
      <c r="AK9" s="345">
        <v>9.3040000000000003</v>
      </c>
      <c r="AL9" s="346">
        <v>154.69</v>
      </c>
      <c r="AM9" s="282">
        <f t="shared" si="7"/>
        <v>1439.23576</v>
      </c>
      <c r="AN9" s="345">
        <v>24.69</v>
      </c>
      <c r="AO9" s="320">
        <v>981.00300000000004</v>
      </c>
      <c r="AP9" s="290">
        <f t="shared" si="8"/>
        <v>24220.964070000002</v>
      </c>
      <c r="AQ9" s="228">
        <f t="shared" si="9"/>
        <v>8622.3789751344084</v>
      </c>
      <c r="AR9" s="229">
        <f t="shared" si="10"/>
        <v>126.70833333333333</v>
      </c>
      <c r="AS9" s="291"/>
      <c r="AT9" s="223">
        <v>0</v>
      </c>
      <c r="AU9" s="292">
        <v>0</v>
      </c>
      <c r="AV9" s="292">
        <v>0</v>
      </c>
      <c r="AW9" s="223">
        <v>0</v>
      </c>
      <c r="AX9" s="292">
        <v>15</v>
      </c>
      <c r="AY9" s="223">
        <v>1440</v>
      </c>
      <c r="AZ9" s="223">
        <v>0</v>
      </c>
      <c r="BA9" s="4"/>
      <c r="BB9" s="242">
        <v>1013</v>
      </c>
      <c r="BC9" s="242">
        <v>1057</v>
      </c>
      <c r="BD9" s="242">
        <v>1005</v>
      </c>
      <c r="BE9" s="242">
        <f t="shared" si="11"/>
        <v>44</v>
      </c>
      <c r="BF9" s="242">
        <f t="shared" si="12"/>
        <v>8622.3789751344084</v>
      </c>
      <c r="BG9" s="294">
        <f t="shared" si="13"/>
        <v>41.875</v>
      </c>
      <c r="BH9" s="295">
        <v>0</v>
      </c>
      <c r="BI9" s="296">
        <v>0</v>
      </c>
      <c r="BJ9" s="297">
        <v>27</v>
      </c>
      <c r="BK9" s="298">
        <v>26.33</v>
      </c>
      <c r="BL9" s="298">
        <v>21.52</v>
      </c>
      <c r="BM9" s="298">
        <v>25.81</v>
      </c>
      <c r="BN9" s="299">
        <v>977.6</v>
      </c>
      <c r="BO9" s="298">
        <v>50.13</v>
      </c>
      <c r="BP9" s="300">
        <v>0.94030000000000002</v>
      </c>
      <c r="BQ9" s="298">
        <v>95.56</v>
      </c>
      <c r="BR9" s="297">
        <v>86.58</v>
      </c>
      <c r="BS9" s="242">
        <v>12209</v>
      </c>
      <c r="BT9" s="242">
        <v>11681</v>
      </c>
      <c r="BU9" s="301">
        <f t="shared" si="14"/>
        <v>-528</v>
      </c>
      <c r="BV9" s="242">
        <v>0</v>
      </c>
      <c r="BW9" s="302">
        <v>0</v>
      </c>
      <c r="BX9" s="302">
        <v>0</v>
      </c>
      <c r="BZ9" s="302">
        <v>24</v>
      </c>
      <c r="CA9" s="302">
        <v>6.7</v>
      </c>
      <c r="CC9" s="302">
        <v>2.1</v>
      </c>
      <c r="CD9" s="302">
        <v>4.2</v>
      </c>
      <c r="CE9" s="302">
        <v>2.1</v>
      </c>
      <c r="CF9" s="302">
        <v>0</v>
      </c>
    </row>
    <row r="10" spans="1:84">
      <c r="A10" s="452"/>
      <c r="B10" s="24">
        <v>43253</v>
      </c>
      <c r="C10" s="280">
        <v>97.9</v>
      </c>
      <c r="D10" s="281">
        <v>0.38900000000000001</v>
      </c>
      <c r="E10" s="282">
        <v>71</v>
      </c>
      <c r="F10" s="223">
        <v>109</v>
      </c>
      <c r="G10" s="223">
        <v>86</v>
      </c>
      <c r="H10" s="283">
        <v>24</v>
      </c>
      <c r="I10" s="283">
        <v>0</v>
      </c>
      <c r="J10" s="283">
        <v>24</v>
      </c>
      <c r="K10" s="283">
        <v>0</v>
      </c>
      <c r="L10" s="284">
        <v>0</v>
      </c>
      <c r="M10" s="284">
        <v>0</v>
      </c>
      <c r="N10" s="284">
        <v>0</v>
      </c>
      <c r="O10" s="284">
        <v>0</v>
      </c>
      <c r="P10" s="284">
        <v>0</v>
      </c>
      <c r="Q10" s="223">
        <v>0</v>
      </c>
      <c r="R10" s="285">
        <v>3416</v>
      </c>
      <c r="S10" s="286">
        <v>3027</v>
      </c>
      <c r="T10" s="286">
        <v>3027</v>
      </c>
      <c r="U10" s="286">
        <v>2952</v>
      </c>
      <c r="V10" s="287">
        <v>3052</v>
      </c>
      <c r="W10" s="283">
        <v>42</v>
      </c>
      <c r="X10" s="283">
        <v>0</v>
      </c>
      <c r="Y10" s="283">
        <v>44</v>
      </c>
      <c r="Z10" s="288">
        <v>0</v>
      </c>
      <c r="AA10" s="288">
        <v>57</v>
      </c>
      <c r="AB10" s="284">
        <v>0</v>
      </c>
      <c r="AC10" s="221">
        <f t="shared" si="0"/>
        <v>100</v>
      </c>
      <c r="AD10" s="222">
        <f t="shared" si="1"/>
        <v>-75</v>
      </c>
      <c r="AE10" s="223">
        <v>130</v>
      </c>
      <c r="AF10" s="224">
        <f t="shared" si="2"/>
        <v>0.97820512820512817</v>
      </c>
      <c r="AG10" s="225">
        <f t="shared" si="3"/>
        <v>142.33333333333334</v>
      </c>
      <c r="AH10" s="224">
        <f t="shared" si="4"/>
        <v>0.86416861826697888</v>
      </c>
      <c r="AI10" s="226">
        <f t="shared" si="5"/>
        <v>1</v>
      </c>
      <c r="AJ10" s="227">
        <f t="shared" si="6"/>
        <v>0.8951048951048951</v>
      </c>
      <c r="AK10" s="271">
        <v>9.3520000000000003</v>
      </c>
      <c r="AL10" s="347">
        <v>151.08000000000001</v>
      </c>
      <c r="AM10" s="282">
        <f t="shared" si="7"/>
        <v>1412.9001600000001</v>
      </c>
      <c r="AN10" s="271">
        <v>24.443999999999999</v>
      </c>
      <c r="AO10" s="320">
        <v>982.20422189494354</v>
      </c>
      <c r="AP10" s="290">
        <f t="shared" si="8"/>
        <v>24009</v>
      </c>
      <c r="AQ10" s="228">
        <f t="shared" si="9"/>
        <v>8611.7547967479677</v>
      </c>
      <c r="AR10" s="229">
        <f t="shared" si="10"/>
        <v>126.125</v>
      </c>
      <c r="AS10" s="291"/>
      <c r="AT10" s="223">
        <v>0</v>
      </c>
      <c r="AU10" s="292">
        <v>0</v>
      </c>
      <c r="AV10" s="292">
        <v>0</v>
      </c>
      <c r="AW10" s="223">
        <v>0</v>
      </c>
      <c r="AX10" s="292">
        <v>15</v>
      </c>
      <c r="AY10" s="223">
        <v>1440</v>
      </c>
      <c r="AZ10" s="223">
        <v>0</v>
      </c>
      <c r="BA10" s="4"/>
      <c r="BB10" s="242">
        <v>1006</v>
      </c>
      <c r="BC10" s="242">
        <v>1048</v>
      </c>
      <c r="BD10" s="242">
        <v>998</v>
      </c>
      <c r="BE10" s="242">
        <f t="shared" si="11"/>
        <v>42</v>
      </c>
      <c r="BF10" s="242">
        <f t="shared" si="12"/>
        <v>8611.7547967479677</v>
      </c>
      <c r="BG10" s="294">
        <f t="shared" si="13"/>
        <v>41.583333333333336</v>
      </c>
      <c r="BH10" s="295">
        <v>0</v>
      </c>
      <c r="BI10" s="296">
        <v>0</v>
      </c>
      <c r="BJ10" s="297">
        <v>27</v>
      </c>
      <c r="BK10" s="298">
        <v>26.07</v>
      </c>
      <c r="BL10" s="298">
        <v>21.28</v>
      </c>
      <c r="BM10" s="298">
        <v>26.19</v>
      </c>
      <c r="BN10" s="299">
        <v>978.21</v>
      </c>
      <c r="BO10" s="298">
        <v>50.11</v>
      </c>
      <c r="BP10" s="300">
        <v>0.94059999999999999</v>
      </c>
      <c r="BQ10" s="297">
        <v>95.9</v>
      </c>
      <c r="BR10" s="297">
        <v>86.95</v>
      </c>
      <c r="BS10" s="242">
        <v>12185</v>
      </c>
      <c r="BT10" s="242">
        <v>11696</v>
      </c>
      <c r="BU10" s="301">
        <f t="shared" si="14"/>
        <v>-489</v>
      </c>
      <c r="BV10" s="242">
        <v>0</v>
      </c>
      <c r="BW10" s="302">
        <v>0</v>
      </c>
      <c r="BX10" s="302">
        <v>0</v>
      </c>
      <c r="BZ10" s="302">
        <v>24</v>
      </c>
      <c r="CA10" s="302">
        <v>7.12</v>
      </c>
      <c r="CC10" s="302">
        <v>2.2000000000000002</v>
      </c>
      <c r="CD10" s="302">
        <v>4.3</v>
      </c>
      <c r="CE10" s="302">
        <v>2.1</v>
      </c>
      <c r="CF10" s="302">
        <v>0</v>
      </c>
    </row>
    <row r="11" spans="1:84">
      <c r="A11" s="453"/>
      <c r="B11" s="24">
        <v>43254</v>
      </c>
      <c r="C11" s="280">
        <v>100.1</v>
      </c>
      <c r="D11" s="281">
        <v>0.39700000000000002</v>
      </c>
      <c r="E11" s="282">
        <v>72.099999999999994</v>
      </c>
      <c r="F11" s="223">
        <v>113</v>
      </c>
      <c r="G11" s="223">
        <v>86</v>
      </c>
      <c r="H11" s="283">
        <v>24</v>
      </c>
      <c r="I11" s="283">
        <v>0</v>
      </c>
      <c r="J11" s="283">
        <v>24</v>
      </c>
      <c r="K11" s="283">
        <v>0</v>
      </c>
      <c r="L11" s="284">
        <v>0</v>
      </c>
      <c r="M11" s="284">
        <v>0</v>
      </c>
      <c r="N11" s="284">
        <v>0</v>
      </c>
      <c r="O11" s="284">
        <v>0</v>
      </c>
      <c r="P11" s="284">
        <v>0</v>
      </c>
      <c r="Q11" s="280">
        <v>0</v>
      </c>
      <c r="R11" s="285">
        <v>3393</v>
      </c>
      <c r="S11" s="286">
        <v>3002</v>
      </c>
      <c r="T11" s="286">
        <v>3002</v>
      </c>
      <c r="U11" s="286">
        <v>2928</v>
      </c>
      <c r="V11" s="287">
        <v>3027</v>
      </c>
      <c r="W11" s="283">
        <v>42</v>
      </c>
      <c r="X11" s="283">
        <v>0</v>
      </c>
      <c r="Y11" s="283">
        <v>43</v>
      </c>
      <c r="Z11" s="288">
        <v>0</v>
      </c>
      <c r="AA11" s="288">
        <v>57</v>
      </c>
      <c r="AB11" s="284">
        <v>0</v>
      </c>
      <c r="AC11" s="221">
        <f t="shared" si="0"/>
        <v>99</v>
      </c>
      <c r="AD11" s="222">
        <f t="shared" si="1"/>
        <v>-74</v>
      </c>
      <c r="AE11" s="223">
        <v>128</v>
      </c>
      <c r="AF11" s="224">
        <f t="shared" si="2"/>
        <v>0.9853515625</v>
      </c>
      <c r="AG11" s="225">
        <f t="shared" si="3"/>
        <v>141.375</v>
      </c>
      <c r="AH11" s="224">
        <f t="shared" si="4"/>
        <v>0.86295313881520774</v>
      </c>
      <c r="AI11" s="226">
        <f t="shared" si="5"/>
        <v>1</v>
      </c>
      <c r="AJ11" s="227">
        <f t="shared" si="6"/>
        <v>0.88732394366197187</v>
      </c>
      <c r="AK11" s="271">
        <v>9.3070000000000004</v>
      </c>
      <c r="AL11" s="272">
        <v>153.58000000000001</v>
      </c>
      <c r="AM11" s="282">
        <f t="shared" si="7"/>
        <v>1429.3690600000002</v>
      </c>
      <c r="AN11" s="271">
        <v>24.210999999999999</v>
      </c>
      <c r="AO11" s="320">
        <v>986.5</v>
      </c>
      <c r="AP11" s="290">
        <f t="shared" si="8"/>
        <v>23884.1515</v>
      </c>
      <c r="AQ11" s="228">
        <f t="shared" si="9"/>
        <v>8645.3280601092902</v>
      </c>
      <c r="AR11" s="229">
        <f t="shared" si="10"/>
        <v>125.08333333333333</v>
      </c>
      <c r="AS11" s="291"/>
      <c r="AT11" s="223">
        <v>0</v>
      </c>
      <c r="AU11" s="292">
        <v>0</v>
      </c>
      <c r="AV11" s="292">
        <v>0</v>
      </c>
      <c r="AW11" s="223">
        <v>0</v>
      </c>
      <c r="AX11" s="292">
        <v>16</v>
      </c>
      <c r="AY11" s="223">
        <v>1440</v>
      </c>
      <c r="AZ11" s="223">
        <v>0</v>
      </c>
      <c r="BA11" s="4"/>
      <c r="BB11" s="242">
        <v>996</v>
      </c>
      <c r="BC11" s="242">
        <v>1037</v>
      </c>
      <c r="BD11" s="242">
        <v>994</v>
      </c>
      <c r="BE11" s="242">
        <f t="shared" si="11"/>
        <v>41</v>
      </c>
      <c r="BF11" s="242">
        <f t="shared" si="12"/>
        <v>8645.3280601092902</v>
      </c>
      <c r="BG11" s="294">
        <f t="shared" si="13"/>
        <v>41.416666666666664</v>
      </c>
      <c r="BH11" s="295">
        <v>0</v>
      </c>
      <c r="BI11" s="296">
        <v>0</v>
      </c>
      <c r="BJ11" s="297">
        <v>26.9</v>
      </c>
      <c r="BK11" s="298">
        <v>25.81</v>
      </c>
      <c r="BL11" s="298">
        <v>21.04</v>
      </c>
      <c r="BM11" s="298">
        <v>25.97</v>
      </c>
      <c r="BN11" s="299">
        <v>976.33</v>
      </c>
      <c r="BO11" s="298">
        <v>50.08</v>
      </c>
      <c r="BP11" s="300">
        <v>0.94059999999999999</v>
      </c>
      <c r="BQ11" s="297">
        <v>95.81</v>
      </c>
      <c r="BR11" s="297">
        <v>87.02</v>
      </c>
      <c r="BS11" s="242">
        <v>12160</v>
      </c>
      <c r="BT11" s="242">
        <v>11695</v>
      </c>
      <c r="BU11" s="301">
        <f t="shared" si="14"/>
        <v>-465</v>
      </c>
      <c r="BV11" s="242">
        <v>0</v>
      </c>
      <c r="BW11" s="302">
        <v>0</v>
      </c>
      <c r="BX11" s="302">
        <v>0</v>
      </c>
      <c r="BZ11" s="302">
        <v>24</v>
      </c>
      <c r="CA11" s="302">
        <v>6.75</v>
      </c>
      <c r="CC11" s="302">
        <v>2.2000000000000002</v>
      </c>
      <c r="CD11" s="302">
        <v>4.2</v>
      </c>
      <c r="CE11" s="302">
        <v>2</v>
      </c>
      <c r="CF11" s="302">
        <v>0</v>
      </c>
    </row>
    <row r="12" spans="1:84">
      <c r="A12" s="451" t="s">
        <v>218</v>
      </c>
      <c r="B12" s="24">
        <v>43255</v>
      </c>
      <c r="C12" s="157">
        <v>99.8</v>
      </c>
      <c r="D12" s="158">
        <v>0.42799999999999999</v>
      </c>
      <c r="E12" s="157">
        <v>73.7</v>
      </c>
      <c r="F12" s="159">
        <v>110</v>
      </c>
      <c r="G12" s="159">
        <v>88</v>
      </c>
      <c r="H12" s="160">
        <v>21</v>
      </c>
      <c r="I12" s="160">
        <v>8</v>
      </c>
      <c r="J12" s="160">
        <v>22</v>
      </c>
      <c r="K12" s="160">
        <v>7</v>
      </c>
      <c r="L12" s="161">
        <v>0</v>
      </c>
      <c r="M12" s="161">
        <v>0</v>
      </c>
      <c r="N12" s="161">
        <v>0</v>
      </c>
      <c r="O12" s="161">
        <v>0</v>
      </c>
      <c r="P12" s="161">
        <v>2</v>
      </c>
      <c r="Q12" s="159">
        <v>9</v>
      </c>
      <c r="R12" s="159">
        <v>3393</v>
      </c>
      <c r="S12" s="159">
        <v>3054</v>
      </c>
      <c r="T12" s="159">
        <v>3054</v>
      </c>
      <c r="U12" s="159">
        <v>2651</v>
      </c>
      <c r="V12" s="160">
        <v>2745</v>
      </c>
      <c r="W12" s="160">
        <v>42</v>
      </c>
      <c r="X12" s="160">
        <v>157</v>
      </c>
      <c r="Y12" s="160">
        <v>43</v>
      </c>
      <c r="Z12" s="161">
        <v>92</v>
      </c>
      <c r="AA12" s="161">
        <v>57</v>
      </c>
      <c r="AB12" s="161">
        <v>126</v>
      </c>
      <c r="AC12" s="165">
        <f t="shared" ref="AC12:AC39" si="15">V12-U12+AZ12</f>
        <v>96</v>
      </c>
      <c r="AD12" s="166">
        <f t="shared" ref="AD12:AD39" si="16">U12-T12</f>
        <v>-403</v>
      </c>
      <c r="AE12" s="159">
        <v>137</v>
      </c>
      <c r="AF12" s="167">
        <f t="shared" ref="AF12:AF39" si="17">IF(AE12&gt;0, V12/(AE12*24),"no data")</f>
        <v>0.83485401459854014</v>
      </c>
      <c r="AG12" s="168">
        <f t="shared" ref="AG12:AG39" si="18">IF(R12&gt;0,R12/24,"no data")</f>
        <v>141.375</v>
      </c>
      <c r="AH12" s="167">
        <f t="shared" ref="AH12:AH39" si="19">IF(U12&gt;0,(U12/R12),"no data")</f>
        <v>0.78131447096964335</v>
      </c>
      <c r="AI12" s="169">
        <f>(1440-((W12*X12)+(Y12*Z12)+(AA12*AB12))/(W12+Y12+AA12))/1440</f>
        <v>0.91328247261345852</v>
      </c>
      <c r="AJ12" s="170">
        <f t="shared" ref="AJ12:AJ39" si="20">IF(U12&gt;0,(1440-((X12*W12+AT12*AU12)+(Z12*Y12+AV12*AW12)+(AA12*AB12+AX12*AY12))/(W12+Y12+AA12))/1440,"no data")</f>
        <v>0.67164514866979663</v>
      </c>
      <c r="AK12" s="273">
        <v>6.3179999999999996</v>
      </c>
      <c r="AL12" s="274">
        <v>153.93</v>
      </c>
      <c r="AM12" s="275">
        <f t="shared" ref="AM12:AM39" si="21">AK12*AL12</f>
        <v>972.52973999999995</v>
      </c>
      <c r="AN12" s="273">
        <v>22.158999999999999</v>
      </c>
      <c r="AO12" s="321">
        <v>986.86</v>
      </c>
      <c r="AP12" s="172">
        <f t="shared" ref="AP12:AP39" si="22">AN12*AO12</f>
        <v>21867.830739999998</v>
      </c>
      <c r="AQ12" s="202">
        <f t="shared" ref="AQ12:AQ39" si="23">IF(U12&gt;0,((((AK12*AL12)+(AN12*AO12))/(U12*1000))*1000000),"no data")</f>
        <v>8615.7527272727257</v>
      </c>
      <c r="AR12" s="199">
        <f>S12/24</f>
        <v>127.25</v>
      </c>
      <c r="AS12" s="13"/>
      <c r="AT12" s="173">
        <v>20</v>
      </c>
      <c r="AU12" s="159">
        <v>15</v>
      </c>
      <c r="AV12" s="174">
        <v>25</v>
      </c>
      <c r="AW12" s="174">
        <v>21</v>
      </c>
      <c r="AX12" s="159">
        <v>41</v>
      </c>
      <c r="AY12" s="174">
        <v>1185</v>
      </c>
      <c r="AZ12" s="159">
        <v>2</v>
      </c>
      <c r="BA12" s="4"/>
      <c r="BB12" s="159">
        <v>874</v>
      </c>
      <c r="BC12" s="159">
        <v>959</v>
      </c>
      <c r="BD12" s="159">
        <v>912</v>
      </c>
      <c r="BE12" s="175">
        <f t="shared" ref="BE12:BE39" si="24">BC12-BB12</f>
        <v>85</v>
      </c>
      <c r="BF12" s="176">
        <f t="shared" ref="BF12:BF41" si="25">AQ12</f>
        <v>8615.7527272727257</v>
      </c>
      <c r="BG12" s="177">
        <f t="shared" ref="BG12:BG39" si="26">BD12/24</f>
        <v>38</v>
      </c>
      <c r="BH12" s="178">
        <v>0.219</v>
      </c>
      <c r="BI12" s="156">
        <v>0.215</v>
      </c>
      <c r="BJ12" s="177">
        <v>27</v>
      </c>
      <c r="BK12" s="175">
        <v>22.78</v>
      </c>
      <c r="BL12" s="175">
        <v>19.489999999999998</v>
      </c>
      <c r="BM12" s="175">
        <v>24.73</v>
      </c>
      <c r="BN12" s="175">
        <v>976</v>
      </c>
      <c r="BO12" s="177">
        <v>50.1</v>
      </c>
      <c r="BP12" s="180">
        <v>0.94040000000000001</v>
      </c>
      <c r="BQ12" s="186">
        <v>96.17</v>
      </c>
      <c r="BR12" s="186">
        <v>87.08</v>
      </c>
      <c r="BS12" s="179">
        <v>12154</v>
      </c>
      <c r="BT12" s="179">
        <v>11691</v>
      </c>
      <c r="BU12" s="51">
        <f t="shared" ref="BU12:BU39" si="27">BT12-BS12</f>
        <v>-463</v>
      </c>
      <c r="BV12" s="175">
        <f t="shared" ref="BV12:BV38" si="28">BH12+BI12</f>
        <v>0.434</v>
      </c>
      <c r="BW12" s="177">
        <f>2.15</f>
        <v>2.15</v>
      </c>
      <c r="BX12" s="177">
        <v>2.15</v>
      </c>
      <c r="BZ12" s="177">
        <v>21.1</v>
      </c>
      <c r="CA12" s="177">
        <v>6.17</v>
      </c>
      <c r="CC12" s="177">
        <v>2</v>
      </c>
      <c r="CD12" s="177">
        <v>4.3</v>
      </c>
      <c r="CE12" s="177">
        <v>2.2000000000000002</v>
      </c>
      <c r="CF12" s="177">
        <v>0</v>
      </c>
    </row>
    <row r="13" spans="1:84">
      <c r="A13" s="452"/>
      <c r="B13" s="24">
        <v>43256</v>
      </c>
      <c r="C13" s="157">
        <v>100.9</v>
      </c>
      <c r="D13" s="197">
        <v>0.44500000000000001</v>
      </c>
      <c r="E13" s="157">
        <v>75.5</v>
      </c>
      <c r="F13" s="159">
        <v>114</v>
      </c>
      <c r="G13" s="159">
        <v>87</v>
      </c>
      <c r="H13" s="160">
        <v>24</v>
      </c>
      <c r="I13" s="160">
        <v>0</v>
      </c>
      <c r="J13" s="160">
        <v>24</v>
      </c>
      <c r="K13" s="160">
        <v>0</v>
      </c>
      <c r="L13" s="161">
        <v>0</v>
      </c>
      <c r="M13" s="161">
        <v>0</v>
      </c>
      <c r="N13" s="161">
        <v>0</v>
      </c>
      <c r="O13" s="161">
        <v>0</v>
      </c>
      <c r="P13" s="161">
        <v>0</v>
      </c>
      <c r="Q13" s="159">
        <v>0</v>
      </c>
      <c r="R13" s="159">
        <v>3386</v>
      </c>
      <c r="S13" s="159">
        <v>2955</v>
      </c>
      <c r="T13" s="159">
        <v>2955</v>
      </c>
      <c r="U13" s="159">
        <v>2886</v>
      </c>
      <c r="V13" s="160">
        <v>2985</v>
      </c>
      <c r="W13" s="160">
        <v>41</v>
      </c>
      <c r="X13" s="160">
        <v>0</v>
      </c>
      <c r="Y13" s="160">
        <v>43</v>
      </c>
      <c r="Z13" s="161">
        <v>0</v>
      </c>
      <c r="AA13" s="161">
        <v>57</v>
      </c>
      <c r="AB13" s="161">
        <v>0</v>
      </c>
      <c r="AC13" s="165">
        <f t="shared" si="15"/>
        <v>99</v>
      </c>
      <c r="AD13" s="166">
        <f t="shared" si="16"/>
        <v>-69</v>
      </c>
      <c r="AE13" s="159">
        <v>129</v>
      </c>
      <c r="AF13" s="167">
        <f t="shared" si="17"/>
        <v>0.96414728682170547</v>
      </c>
      <c r="AG13" s="168">
        <f t="shared" si="18"/>
        <v>141.08333333333334</v>
      </c>
      <c r="AH13" s="167">
        <f t="shared" si="19"/>
        <v>0.85233313644418196</v>
      </c>
      <c r="AI13" s="169">
        <f>(1440-((W13*X13)+(Y13*Z13)+(AA13*AB13))/(W13+Y13+AA13))/1440</f>
        <v>1</v>
      </c>
      <c r="AJ13" s="170">
        <f t="shared" si="20"/>
        <v>0.88652482269503552</v>
      </c>
      <c r="AK13" s="273">
        <v>9.298</v>
      </c>
      <c r="AL13" s="274">
        <v>154.19999999999999</v>
      </c>
      <c r="AM13" s="275">
        <f t="shared" si="21"/>
        <v>1433.7515999999998</v>
      </c>
      <c r="AN13" s="273">
        <v>23.829000000000001</v>
      </c>
      <c r="AO13" s="321">
        <v>999.20770000000005</v>
      </c>
      <c r="AP13" s="172">
        <f t="shared" si="22"/>
        <v>23810.120283300002</v>
      </c>
      <c r="AQ13" s="202">
        <f t="shared" si="23"/>
        <v>8747.0103545738057</v>
      </c>
      <c r="AR13" s="199">
        <f>S13/24</f>
        <v>123.125</v>
      </c>
      <c r="AS13" s="13"/>
      <c r="AT13" s="173">
        <v>0</v>
      </c>
      <c r="AU13" s="159">
        <v>0</v>
      </c>
      <c r="AV13" s="174">
        <v>0</v>
      </c>
      <c r="AW13" s="174">
        <v>0</v>
      </c>
      <c r="AX13" s="159">
        <v>16</v>
      </c>
      <c r="AY13" s="174">
        <v>1440</v>
      </c>
      <c r="AZ13" s="159">
        <v>0</v>
      </c>
      <c r="BA13" s="332"/>
      <c r="BB13" s="159">
        <v>984</v>
      </c>
      <c r="BC13" s="159">
        <v>1023</v>
      </c>
      <c r="BD13" s="159">
        <v>978</v>
      </c>
      <c r="BE13" s="175">
        <f t="shared" si="24"/>
        <v>39</v>
      </c>
      <c r="BF13" s="176">
        <f t="shared" si="25"/>
        <v>8747.0103545738057</v>
      </c>
      <c r="BG13" s="177">
        <f t="shared" si="26"/>
        <v>40.75</v>
      </c>
      <c r="BH13" s="178">
        <v>0</v>
      </c>
      <c r="BI13" s="156">
        <v>0</v>
      </c>
      <c r="BJ13" s="177">
        <v>27</v>
      </c>
      <c r="BK13" s="175">
        <v>25.38</v>
      </c>
      <c r="BL13" s="175">
        <v>20.58</v>
      </c>
      <c r="BM13" s="175">
        <v>26.48</v>
      </c>
      <c r="BN13" s="179">
        <v>977.42</v>
      </c>
      <c r="BO13" s="186">
        <v>50.11</v>
      </c>
      <c r="BP13" s="180">
        <v>0.94079999999999997</v>
      </c>
      <c r="BQ13" s="177">
        <v>96.47</v>
      </c>
      <c r="BR13" s="177">
        <v>87.16</v>
      </c>
      <c r="BS13" s="175">
        <v>12105</v>
      </c>
      <c r="BT13" s="175">
        <v>11640</v>
      </c>
      <c r="BU13" s="51">
        <f t="shared" si="27"/>
        <v>-465</v>
      </c>
      <c r="BV13" s="175">
        <f t="shared" si="28"/>
        <v>0</v>
      </c>
      <c r="BW13" s="177">
        <v>0</v>
      </c>
      <c r="BX13" s="177">
        <v>0</v>
      </c>
      <c r="BZ13" s="177">
        <v>24</v>
      </c>
      <c r="CA13" s="177">
        <v>4.83</v>
      </c>
      <c r="CC13" s="177">
        <v>2.2000000000000002</v>
      </c>
      <c r="CD13" s="177">
        <v>4.3</v>
      </c>
      <c r="CE13" s="177">
        <v>2</v>
      </c>
      <c r="CF13" s="177">
        <v>0</v>
      </c>
    </row>
    <row r="14" spans="1:84">
      <c r="A14" s="452"/>
      <c r="B14" s="24">
        <v>43257</v>
      </c>
      <c r="C14" s="157">
        <v>94.9</v>
      </c>
      <c r="D14" s="197">
        <v>0.47199999999999998</v>
      </c>
      <c r="E14" s="157">
        <v>72.7</v>
      </c>
      <c r="F14" s="159">
        <v>105</v>
      </c>
      <c r="G14" s="159">
        <v>83</v>
      </c>
      <c r="H14" s="160">
        <v>24</v>
      </c>
      <c r="I14" s="160">
        <v>0</v>
      </c>
      <c r="J14" s="160">
        <v>24</v>
      </c>
      <c r="K14" s="160">
        <v>0</v>
      </c>
      <c r="L14" s="161">
        <v>0</v>
      </c>
      <c r="M14" s="161">
        <v>0</v>
      </c>
      <c r="N14" s="161">
        <v>0</v>
      </c>
      <c r="O14" s="161">
        <v>0</v>
      </c>
      <c r="P14" s="161">
        <v>0</v>
      </c>
      <c r="Q14" s="159">
        <v>0</v>
      </c>
      <c r="R14" s="159">
        <v>3447</v>
      </c>
      <c r="S14" s="159">
        <v>3011</v>
      </c>
      <c r="T14" s="159">
        <v>3011</v>
      </c>
      <c r="U14" s="159">
        <v>2942</v>
      </c>
      <c r="V14" s="160">
        <v>3045</v>
      </c>
      <c r="W14" s="160">
        <v>42</v>
      </c>
      <c r="X14" s="160">
        <v>0</v>
      </c>
      <c r="Y14" s="160">
        <v>44</v>
      </c>
      <c r="Z14" s="161">
        <v>0</v>
      </c>
      <c r="AA14" s="161">
        <v>57</v>
      </c>
      <c r="AB14" s="161">
        <v>0</v>
      </c>
      <c r="AC14" s="165">
        <f t="shared" si="15"/>
        <v>103</v>
      </c>
      <c r="AD14" s="166">
        <f t="shared" si="16"/>
        <v>-69</v>
      </c>
      <c r="AE14" s="159">
        <v>130</v>
      </c>
      <c r="AF14" s="167">
        <f t="shared" si="17"/>
        <v>0.97596153846153844</v>
      </c>
      <c r="AG14" s="168">
        <f t="shared" si="18"/>
        <v>143.625</v>
      </c>
      <c r="AH14" s="167">
        <f t="shared" si="19"/>
        <v>0.85349579344357407</v>
      </c>
      <c r="AI14" s="169">
        <f>(1440-((W14*X14)+(Y14*Z14)+(AA14*AB14))/(W14+Y14+AA14))/1440</f>
        <v>1</v>
      </c>
      <c r="AJ14" s="170">
        <f t="shared" si="20"/>
        <v>0.88811188811188813</v>
      </c>
      <c r="AK14" s="273">
        <v>9.2929999999999993</v>
      </c>
      <c r="AL14" s="274">
        <v>151.66999999999999</v>
      </c>
      <c r="AM14" s="275">
        <f t="shared" si="21"/>
        <v>1409.4693099999997</v>
      </c>
      <c r="AN14" s="273">
        <v>24.350999999999999</v>
      </c>
      <c r="AO14" s="321">
        <v>994.25</v>
      </c>
      <c r="AP14" s="172">
        <f t="shared" si="22"/>
        <v>24210.981749999999</v>
      </c>
      <c r="AQ14" s="202">
        <f t="shared" si="23"/>
        <v>8708.5149762066612</v>
      </c>
      <c r="AR14" s="199">
        <f>S14/24</f>
        <v>125.45833333333333</v>
      </c>
      <c r="AS14" s="13"/>
      <c r="AT14" s="182">
        <v>0</v>
      </c>
      <c r="AU14" s="159">
        <v>0</v>
      </c>
      <c r="AV14" s="174">
        <v>0</v>
      </c>
      <c r="AW14" s="174">
        <v>0</v>
      </c>
      <c r="AX14" s="159">
        <v>16</v>
      </c>
      <c r="AY14" s="174">
        <v>1440</v>
      </c>
      <c r="AZ14" s="159">
        <v>0</v>
      </c>
      <c r="BA14" s="332"/>
      <c r="BB14" s="159">
        <v>1003</v>
      </c>
      <c r="BC14" s="159">
        <v>1048</v>
      </c>
      <c r="BD14" s="159">
        <v>994</v>
      </c>
      <c r="BE14" s="175">
        <f t="shared" si="24"/>
        <v>45</v>
      </c>
      <c r="BF14" s="176">
        <f t="shared" si="25"/>
        <v>8708.5149762066612</v>
      </c>
      <c r="BG14" s="177">
        <f t="shared" si="26"/>
        <v>41.416666666666664</v>
      </c>
      <c r="BH14" s="178">
        <v>0</v>
      </c>
      <c r="BI14" s="156">
        <v>0</v>
      </c>
      <c r="BJ14" s="177">
        <v>27</v>
      </c>
      <c r="BK14" s="175">
        <v>26</v>
      </c>
      <c r="BL14" s="175">
        <v>21.08</v>
      </c>
      <c r="BM14" s="175">
        <v>26.89</v>
      </c>
      <c r="BN14" s="179">
        <v>981.25</v>
      </c>
      <c r="BO14" s="179">
        <v>50.13</v>
      </c>
      <c r="BP14" s="180">
        <v>0.94</v>
      </c>
      <c r="BQ14" s="177">
        <v>96.5</v>
      </c>
      <c r="BR14" s="177">
        <v>87.26</v>
      </c>
      <c r="BS14" s="175">
        <v>12179</v>
      </c>
      <c r="BT14" s="175">
        <v>11656</v>
      </c>
      <c r="BU14" s="51">
        <f t="shared" si="27"/>
        <v>-523</v>
      </c>
      <c r="BV14" s="175">
        <f t="shared" si="28"/>
        <v>0</v>
      </c>
      <c r="BW14" s="177">
        <v>0</v>
      </c>
      <c r="BX14" s="177">
        <v>0</v>
      </c>
      <c r="BZ14" s="177">
        <v>24</v>
      </c>
      <c r="CA14" s="177">
        <v>6.63</v>
      </c>
      <c r="CC14" s="177">
        <v>2.1</v>
      </c>
      <c r="CD14" s="177">
        <v>4.2</v>
      </c>
      <c r="CE14" s="177">
        <v>2.1</v>
      </c>
      <c r="CF14" s="177">
        <v>0</v>
      </c>
    </row>
    <row r="15" spans="1:84">
      <c r="A15" s="452"/>
      <c r="B15" s="24">
        <v>43258</v>
      </c>
      <c r="C15" s="157">
        <v>99.4</v>
      </c>
      <c r="D15" s="197">
        <v>0.46500000000000002</v>
      </c>
      <c r="E15" s="157">
        <v>75.7</v>
      </c>
      <c r="F15" s="183">
        <v>107</v>
      </c>
      <c r="G15" s="183">
        <v>90</v>
      </c>
      <c r="H15" s="160">
        <v>24</v>
      </c>
      <c r="I15" s="160">
        <v>0</v>
      </c>
      <c r="J15" s="160">
        <v>24</v>
      </c>
      <c r="K15" s="160">
        <v>0</v>
      </c>
      <c r="L15" s="161">
        <v>0</v>
      </c>
      <c r="M15" s="161">
        <v>0</v>
      </c>
      <c r="N15" s="161">
        <v>0</v>
      </c>
      <c r="O15" s="161">
        <v>0</v>
      </c>
      <c r="P15" s="161">
        <v>0</v>
      </c>
      <c r="Q15" s="159">
        <v>0</v>
      </c>
      <c r="R15" s="159">
        <v>3402</v>
      </c>
      <c r="S15" s="159">
        <v>2967</v>
      </c>
      <c r="T15" s="159">
        <v>2967</v>
      </c>
      <c r="U15" s="159">
        <v>2894</v>
      </c>
      <c r="V15" s="160">
        <v>2991</v>
      </c>
      <c r="W15" s="160">
        <v>41</v>
      </c>
      <c r="X15" s="160">
        <v>0</v>
      </c>
      <c r="Y15" s="160">
        <v>43</v>
      </c>
      <c r="Z15" s="161">
        <v>0</v>
      </c>
      <c r="AA15" s="161">
        <v>57</v>
      </c>
      <c r="AB15" s="161">
        <v>0</v>
      </c>
      <c r="AC15" s="165">
        <f t="shared" si="15"/>
        <v>97</v>
      </c>
      <c r="AD15" s="166">
        <f t="shared" si="16"/>
        <v>-73</v>
      </c>
      <c r="AE15" s="159">
        <v>126</v>
      </c>
      <c r="AF15" s="167">
        <f t="shared" si="17"/>
        <v>0.98908730158730163</v>
      </c>
      <c r="AG15" s="168">
        <f t="shared" si="18"/>
        <v>141.75</v>
      </c>
      <c r="AH15" s="167">
        <f t="shared" si="19"/>
        <v>0.85067607289829517</v>
      </c>
      <c r="AI15" s="169">
        <f>(1440-((W15*X15)+(Y15*Z15)+(AA15*AB15))/(W15+Y15+AA15))/1440</f>
        <v>1</v>
      </c>
      <c r="AJ15" s="170">
        <f t="shared" si="20"/>
        <v>0.88652482269503552</v>
      </c>
      <c r="AK15" s="273">
        <v>9.2840000000000007</v>
      </c>
      <c r="AL15" s="274">
        <v>153.65</v>
      </c>
      <c r="AM15" s="275">
        <f t="shared" si="21"/>
        <v>1426.4866000000002</v>
      </c>
      <c r="AN15" s="273">
        <v>24.055</v>
      </c>
      <c r="AO15" s="321">
        <v>987.61120000000005</v>
      </c>
      <c r="AP15" s="172">
        <f t="shared" si="22"/>
        <v>23756.987416</v>
      </c>
      <c r="AQ15" s="202">
        <f t="shared" si="23"/>
        <v>8701.9606136834827</v>
      </c>
      <c r="AR15" s="199">
        <f>S15/24</f>
        <v>123.625</v>
      </c>
      <c r="AS15" s="13"/>
      <c r="AT15" s="159">
        <v>0</v>
      </c>
      <c r="AU15" s="174">
        <v>0</v>
      </c>
      <c r="AV15" s="174">
        <v>0</v>
      </c>
      <c r="AW15" s="159">
        <v>0</v>
      </c>
      <c r="AX15" s="174">
        <v>16</v>
      </c>
      <c r="AY15" s="159">
        <v>1440</v>
      </c>
      <c r="AZ15" s="159">
        <v>0</v>
      </c>
      <c r="BA15" s="332"/>
      <c r="BB15" s="175">
        <v>987</v>
      </c>
      <c r="BC15" s="175">
        <v>1024</v>
      </c>
      <c r="BD15" s="184">
        <v>980</v>
      </c>
      <c r="BE15" s="175">
        <f t="shared" si="24"/>
        <v>37</v>
      </c>
      <c r="BF15" s="177">
        <f t="shared" si="25"/>
        <v>8701.9606136834827</v>
      </c>
      <c r="BG15" s="177">
        <f t="shared" si="26"/>
        <v>40.833333333333336</v>
      </c>
      <c r="BH15" s="178">
        <v>0</v>
      </c>
      <c r="BI15" s="156">
        <v>0</v>
      </c>
      <c r="BJ15" s="177">
        <v>27</v>
      </c>
      <c r="BK15" s="175">
        <v>25.82</v>
      </c>
      <c r="BL15" s="175">
        <v>20.82</v>
      </c>
      <c r="BM15" s="175">
        <v>26.85</v>
      </c>
      <c r="BN15" s="179">
        <v>976.42</v>
      </c>
      <c r="BO15" s="179">
        <v>50.09</v>
      </c>
      <c r="BP15" s="185">
        <v>0.9415</v>
      </c>
      <c r="BQ15" s="177">
        <v>96.65</v>
      </c>
      <c r="BR15" s="177">
        <v>87.45</v>
      </c>
      <c r="BS15" s="175">
        <v>12282</v>
      </c>
      <c r="BT15" s="175">
        <v>11787</v>
      </c>
      <c r="BU15" s="51">
        <f t="shared" si="27"/>
        <v>-495</v>
      </c>
      <c r="BV15" s="175">
        <f t="shared" si="28"/>
        <v>0</v>
      </c>
      <c r="BW15" s="177">
        <v>0</v>
      </c>
      <c r="BX15" s="177">
        <v>0</v>
      </c>
      <c r="BZ15" s="177">
        <v>24</v>
      </c>
      <c r="CA15" s="177">
        <v>6.9</v>
      </c>
      <c r="CC15" s="177">
        <v>2.2000000000000002</v>
      </c>
      <c r="CD15" s="177">
        <v>4.3</v>
      </c>
      <c r="CE15" s="177">
        <v>2.1</v>
      </c>
      <c r="CF15" s="177">
        <v>0</v>
      </c>
    </row>
    <row r="16" spans="1:84">
      <c r="A16" s="452"/>
      <c r="B16" s="24">
        <v>43259</v>
      </c>
      <c r="C16" s="157">
        <v>101.5</v>
      </c>
      <c r="D16" s="197">
        <v>0.42870000000000003</v>
      </c>
      <c r="E16" s="157">
        <v>75.540000000000006</v>
      </c>
      <c r="F16" s="159">
        <v>112</v>
      </c>
      <c r="G16" s="159">
        <v>92</v>
      </c>
      <c r="H16" s="159">
        <v>24</v>
      </c>
      <c r="I16" s="159">
        <v>0</v>
      </c>
      <c r="J16" s="159">
        <v>24</v>
      </c>
      <c r="K16" s="159">
        <v>0</v>
      </c>
      <c r="L16" s="161">
        <v>0</v>
      </c>
      <c r="M16" s="161">
        <v>0</v>
      </c>
      <c r="N16" s="161">
        <v>0</v>
      </c>
      <c r="O16" s="161">
        <v>0</v>
      </c>
      <c r="P16" s="161">
        <v>0</v>
      </c>
      <c r="Q16" s="159">
        <v>0</v>
      </c>
      <c r="R16" s="159">
        <v>3381</v>
      </c>
      <c r="S16" s="159">
        <v>2960</v>
      </c>
      <c r="T16" s="159">
        <v>2960</v>
      </c>
      <c r="U16" s="159">
        <v>2889</v>
      </c>
      <c r="V16" s="159">
        <v>2990</v>
      </c>
      <c r="W16" s="159">
        <v>41</v>
      </c>
      <c r="X16" s="159">
        <v>0</v>
      </c>
      <c r="Y16" s="159">
        <v>43</v>
      </c>
      <c r="Z16" s="161">
        <v>0</v>
      </c>
      <c r="AA16" s="161">
        <v>57</v>
      </c>
      <c r="AB16" s="161">
        <v>0</v>
      </c>
      <c r="AC16" s="165">
        <f t="shared" si="15"/>
        <v>101</v>
      </c>
      <c r="AD16" s="166">
        <f t="shared" si="16"/>
        <v>-71</v>
      </c>
      <c r="AE16" s="159">
        <v>127</v>
      </c>
      <c r="AF16" s="167">
        <f t="shared" si="17"/>
        <v>0.98097112860892388</v>
      </c>
      <c r="AG16" s="168">
        <f t="shared" si="18"/>
        <v>140.875</v>
      </c>
      <c r="AH16" s="167">
        <f t="shared" si="19"/>
        <v>0.8544809228039042</v>
      </c>
      <c r="AI16" s="169">
        <f>IF(U16&gt;0,(1440-((W16*X16)+(Y16*Z16)+(AA16*AB16))/(W16+Y16+AA16))/1440,"no data")</f>
        <v>1</v>
      </c>
      <c r="AJ16" s="170">
        <f t="shared" si="20"/>
        <v>0.88652482269503552</v>
      </c>
      <c r="AK16" s="273">
        <v>9.2889999999999997</v>
      </c>
      <c r="AL16" s="274">
        <v>154.12</v>
      </c>
      <c r="AM16" s="275">
        <f t="shared" si="21"/>
        <v>1431.62068</v>
      </c>
      <c r="AN16" s="273">
        <v>23.826000000000001</v>
      </c>
      <c r="AO16" s="321">
        <v>988.16369359916052</v>
      </c>
      <c r="AP16" s="172">
        <f t="shared" si="22"/>
        <v>23543.988163693601</v>
      </c>
      <c r="AQ16" s="202">
        <f t="shared" si="23"/>
        <v>8645.0705585647629</v>
      </c>
      <c r="AR16" s="199">
        <f>S16/24</f>
        <v>123.33333333333333</v>
      </c>
      <c r="AS16" s="13"/>
      <c r="AT16" s="159">
        <v>0</v>
      </c>
      <c r="AU16" s="159">
        <v>0</v>
      </c>
      <c r="AV16" s="159">
        <v>0</v>
      </c>
      <c r="AW16" s="159">
        <v>0</v>
      </c>
      <c r="AX16" s="159">
        <v>16</v>
      </c>
      <c r="AY16" s="159">
        <v>1440</v>
      </c>
      <c r="AZ16" s="159">
        <v>0</v>
      </c>
      <c r="BA16" s="332"/>
      <c r="BB16" s="175">
        <v>984</v>
      </c>
      <c r="BC16" s="175">
        <v>1024</v>
      </c>
      <c r="BD16" s="175">
        <v>982</v>
      </c>
      <c r="BE16" s="175">
        <f t="shared" si="24"/>
        <v>40</v>
      </c>
      <c r="BF16" s="177">
        <f t="shared" si="25"/>
        <v>8645.0705585647629</v>
      </c>
      <c r="BG16" s="177">
        <f t="shared" si="26"/>
        <v>40.916666666666664</v>
      </c>
      <c r="BH16" s="178">
        <v>0</v>
      </c>
      <c r="BI16" s="156">
        <v>0</v>
      </c>
      <c r="BJ16" s="177">
        <v>27</v>
      </c>
      <c r="BK16" s="175">
        <v>25.58</v>
      </c>
      <c r="BL16" s="175">
        <v>20.58</v>
      </c>
      <c r="BM16" s="175">
        <v>26.92</v>
      </c>
      <c r="BN16" s="179">
        <v>975.25</v>
      </c>
      <c r="BO16" s="179">
        <v>50.14</v>
      </c>
      <c r="BP16" s="185">
        <v>0.94179999999999997</v>
      </c>
      <c r="BQ16" s="177">
        <v>96.37</v>
      </c>
      <c r="BR16" s="177">
        <v>87.23</v>
      </c>
      <c r="BS16" s="175">
        <v>12205</v>
      </c>
      <c r="BT16" s="175">
        <v>11695</v>
      </c>
      <c r="BU16" s="51">
        <f t="shared" si="27"/>
        <v>-510</v>
      </c>
      <c r="BV16" s="175">
        <f t="shared" si="28"/>
        <v>0</v>
      </c>
      <c r="BW16" s="177">
        <v>0</v>
      </c>
      <c r="BX16" s="177">
        <v>0</v>
      </c>
      <c r="BZ16" s="177">
        <v>24</v>
      </c>
      <c r="CA16" s="177">
        <v>7</v>
      </c>
      <c r="CC16" s="177">
        <v>2.1</v>
      </c>
      <c r="CD16" s="177">
        <v>4.2</v>
      </c>
      <c r="CE16" s="177">
        <v>2</v>
      </c>
      <c r="CF16" s="177">
        <v>0</v>
      </c>
    </row>
    <row r="17" spans="1:84">
      <c r="A17" s="452"/>
      <c r="B17" s="24">
        <v>43260</v>
      </c>
      <c r="C17" s="157">
        <v>92.08</v>
      </c>
      <c r="D17" s="197">
        <v>0.57099999999999995</v>
      </c>
      <c r="E17" s="157">
        <v>74.930000000000007</v>
      </c>
      <c r="F17" s="159">
        <v>99</v>
      </c>
      <c r="G17" s="159">
        <v>89</v>
      </c>
      <c r="H17" s="159">
        <v>24</v>
      </c>
      <c r="I17" s="159">
        <v>0</v>
      </c>
      <c r="J17" s="159">
        <v>24</v>
      </c>
      <c r="K17" s="159">
        <v>0</v>
      </c>
      <c r="L17" s="161">
        <v>0</v>
      </c>
      <c r="M17" s="161">
        <v>0</v>
      </c>
      <c r="N17" s="161">
        <v>0</v>
      </c>
      <c r="O17" s="161">
        <v>0</v>
      </c>
      <c r="P17" s="161">
        <v>0</v>
      </c>
      <c r="Q17" s="159">
        <v>0</v>
      </c>
      <c r="R17" s="159">
        <v>3475</v>
      </c>
      <c r="S17" s="159">
        <v>2981</v>
      </c>
      <c r="T17" s="159">
        <v>2981</v>
      </c>
      <c r="U17" s="159">
        <v>2915</v>
      </c>
      <c r="V17" s="159">
        <v>3014</v>
      </c>
      <c r="W17" s="159">
        <v>42</v>
      </c>
      <c r="X17" s="159">
        <v>0</v>
      </c>
      <c r="Y17" s="159">
        <v>43</v>
      </c>
      <c r="Z17" s="161">
        <v>0</v>
      </c>
      <c r="AA17" s="161">
        <v>57</v>
      </c>
      <c r="AB17" s="161">
        <v>0</v>
      </c>
      <c r="AC17" s="165">
        <f t="shared" si="15"/>
        <v>99</v>
      </c>
      <c r="AD17" s="166">
        <f t="shared" si="16"/>
        <v>-66</v>
      </c>
      <c r="AE17" s="159">
        <v>128</v>
      </c>
      <c r="AF17" s="167">
        <f t="shared" si="17"/>
        <v>0.98111979166666663</v>
      </c>
      <c r="AG17" s="168">
        <f t="shared" si="18"/>
        <v>144.79166666666666</v>
      </c>
      <c r="AH17" s="167">
        <f t="shared" si="19"/>
        <v>0.83884892086330931</v>
      </c>
      <c r="AI17" s="169">
        <f t="shared" ref="AI17:AI39" si="29">IF(U17&gt;0,(1440-((W17*X17)+(Y17*Z17)+(AA17*AB17))/(W17+Y17+AA17))/1440,"no data")</f>
        <v>1</v>
      </c>
      <c r="AJ17" s="170">
        <f t="shared" si="20"/>
        <v>0.88732394366197187</v>
      </c>
      <c r="AK17" s="273">
        <v>9.2539999999999996</v>
      </c>
      <c r="AL17" s="274">
        <v>149.78</v>
      </c>
      <c r="AM17" s="275">
        <f t="shared" si="21"/>
        <v>1386.06412</v>
      </c>
      <c r="AN17" s="273">
        <v>24.160419999999998</v>
      </c>
      <c r="AO17" s="321">
        <v>989.52814569536395</v>
      </c>
      <c r="AP17" s="172">
        <f t="shared" si="22"/>
        <v>23907.415601821183</v>
      </c>
      <c r="AQ17" s="202">
        <f t="shared" si="23"/>
        <v>8677.0084808992051</v>
      </c>
      <c r="AR17" s="340">
        <f t="shared" ref="AR17:AR39" si="30">IF(S17&gt;0,S17/24, "no data")</f>
        <v>124.20833333333333</v>
      </c>
      <c r="AS17" s="13"/>
      <c r="AT17" s="159">
        <v>0</v>
      </c>
      <c r="AU17" s="159">
        <v>0</v>
      </c>
      <c r="AV17" s="159">
        <v>0</v>
      </c>
      <c r="AW17" s="159">
        <v>0</v>
      </c>
      <c r="AX17" s="159">
        <v>16</v>
      </c>
      <c r="AY17" s="159">
        <v>1440</v>
      </c>
      <c r="AZ17" s="159">
        <v>0</v>
      </c>
      <c r="BA17" s="332"/>
      <c r="BB17" s="175">
        <v>996</v>
      </c>
      <c r="BC17" s="175">
        <v>1037</v>
      </c>
      <c r="BD17" s="175">
        <v>981</v>
      </c>
      <c r="BE17" s="175">
        <f t="shared" si="24"/>
        <v>41</v>
      </c>
      <c r="BF17" s="177">
        <f t="shared" si="25"/>
        <v>8677.0084808992051</v>
      </c>
      <c r="BG17" s="177">
        <f t="shared" si="26"/>
        <v>40.875</v>
      </c>
      <c r="BH17" s="178">
        <v>0</v>
      </c>
      <c r="BI17" s="156">
        <v>0</v>
      </c>
      <c r="BJ17" s="177">
        <v>27</v>
      </c>
      <c r="BK17" s="175">
        <v>25.89</v>
      </c>
      <c r="BL17" s="175">
        <v>20.82</v>
      </c>
      <c r="BM17" s="175">
        <v>27.22</v>
      </c>
      <c r="BN17" s="186">
        <v>977.42</v>
      </c>
      <c r="BO17" s="179">
        <v>50.15</v>
      </c>
      <c r="BP17" s="185">
        <v>0.94030000000000002</v>
      </c>
      <c r="BQ17" s="177">
        <v>96.75</v>
      </c>
      <c r="BR17" s="186">
        <v>87.19</v>
      </c>
      <c r="BS17" s="175">
        <v>12244</v>
      </c>
      <c r="BT17" s="175">
        <v>12054</v>
      </c>
      <c r="BU17" s="51">
        <f t="shared" si="27"/>
        <v>-190</v>
      </c>
      <c r="BV17" s="175">
        <f t="shared" si="28"/>
        <v>0</v>
      </c>
      <c r="BW17" s="177">
        <v>0</v>
      </c>
      <c r="BX17" s="177">
        <v>0</v>
      </c>
      <c r="BZ17" s="177">
        <v>24</v>
      </c>
      <c r="CA17" s="177">
        <v>6.78</v>
      </c>
      <c r="CC17" s="177">
        <v>2.1</v>
      </c>
      <c r="CD17" s="177">
        <v>4.4000000000000004</v>
      </c>
      <c r="CE17" s="177">
        <v>2.1</v>
      </c>
      <c r="CF17" s="177">
        <v>0</v>
      </c>
    </row>
    <row r="18" spans="1:84">
      <c r="A18" s="453"/>
      <c r="B18" s="24">
        <v>43261</v>
      </c>
      <c r="C18" s="157">
        <v>90.36</v>
      </c>
      <c r="D18" s="197">
        <v>0.63390000000000002</v>
      </c>
      <c r="E18" s="157">
        <v>76.760000000000005</v>
      </c>
      <c r="F18" s="159">
        <v>100</v>
      </c>
      <c r="G18" s="159">
        <v>80</v>
      </c>
      <c r="H18" s="159">
        <v>24</v>
      </c>
      <c r="I18" s="159">
        <v>0</v>
      </c>
      <c r="J18" s="159">
        <v>24</v>
      </c>
      <c r="K18" s="159">
        <v>0</v>
      </c>
      <c r="L18" s="159">
        <v>0</v>
      </c>
      <c r="M18" s="159">
        <v>0</v>
      </c>
      <c r="N18" s="187">
        <v>0</v>
      </c>
      <c r="O18" s="187">
        <v>0</v>
      </c>
      <c r="P18" s="187">
        <v>0</v>
      </c>
      <c r="Q18" s="159">
        <v>0</v>
      </c>
      <c r="R18" s="159">
        <v>3495</v>
      </c>
      <c r="S18" s="159">
        <v>2983</v>
      </c>
      <c r="T18" s="159">
        <v>2983</v>
      </c>
      <c r="U18" s="159">
        <v>2911</v>
      </c>
      <c r="V18" s="159">
        <v>3010</v>
      </c>
      <c r="W18" s="159">
        <v>41</v>
      </c>
      <c r="X18" s="159">
        <v>0</v>
      </c>
      <c r="Y18" s="159">
        <v>43</v>
      </c>
      <c r="Z18" s="159">
        <v>0</v>
      </c>
      <c r="AA18" s="159">
        <v>57</v>
      </c>
      <c r="AB18" s="187">
        <v>0</v>
      </c>
      <c r="AC18" s="165">
        <f t="shared" si="15"/>
        <v>99</v>
      </c>
      <c r="AD18" s="166">
        <f t="shared" si="16"/>
        <v>-72</v>
      </c>
      <c r="AE18" s="159">
        <v>127</v>
      </c>
      <c r="AF18" s="167">
        <f t="shared" si="17"/>
        <v>0.98753280839895008</v>
      </c>
      <c r="AG18" s="168">
        <f t="shared" si="18"/>
        <v>145.625</v>
      </c>
      <c r="AH18" s="167">
        <f>IF(U18&gt;0,(U18/R18),"no data")</f>
        <v>0.83290414878397712</v>
      </c>
      <c r="AI18" s="169">
        <f t="shared" si="29"/>
        <v>1</v>
      </c>
      <c r="AJ18" s="170">
        <f t="shared" si="20"/>
        <v>0.88652482269503552</v>
      </c>
      <c r="AK18" s="273">
        <v>9.2919999999999998</v>
      </c>
      <c r="AL18" s="274">
        <v>148.84</v>
      </c>
      <c r="AM18" s="275">
        <f t="shared" si="21"/>
        <v>1383.0212799999999</v>
      </c>
      <c r="AN18" s="273">
        <v>24.223200000000002</v>
      </c>
      <c r="AO18" s="321">
        <v>981.6703</v>
      </c>
      <c r="AP18" s="172">
        <f t="shared" si="22"/>
        <v>23779.19601096</v>
      </c>
      <c r="AQ18" s="202">
        <f t="shared" si="23"/>
        <v>8643.8396739814507</v>
      </c>
      <c r="AR18" s="340">
        <f t="shared" si="30"/>
        <v>124.29166666666667</v>
      </c>
      <c r="AS18" s="13"/>
      <c r="AT18" s="159">
        <v>0</v>
      </c>
      <c r="AU18" s="159">
        <v>0</v>
      </c>
      <c r="AV18" s="159">
        <v>0</v>
      </c>
      <c r="AW18" s="159">
        <v>0</v>
      </c>
      <c r="AX18" s="174">
        <v>16</v>
      </c>
      <c r="AY18" s="159">
        <v>1440</v>
      </c>
      <c r="AZ18" s="159">
        <v>0</v>
      </c>
      <c r="BA18" s="332"/>
      <c r="BB18" s="175">
        <v>991</v>
      </c>
      <c r="BC18" s="175">
        <v>1034</v>
      </c>
      <c r="BD18" s="175">
        <v>985</v>
      </c>
      <c r="BE18" s="175">
        <f t="shared" si="24"/>
        <v>43</v>
      </c>
      <c r="BF18" s="177">
        <f t="shared" si="25"/>
        <v>8643.8396739814507</v>
      </c>
      <c r="BG18" s="177">
        <f t="shared" si="26"/>
        <v>41.041666666666664</v>
      </c>
      <c r="BH18" s="178">
        <v>0</v>
      </c>
      <c r="BI18" s="156">
        <v>0</v>
      </c>
      <c r="BJ18" s="177">
        <v>27</v>
      </c>
      <c r="BK18" s="175">
        <v>25.98</v>
      </c>
      <c r="BL18" s="175">
        <v>20.99</v>
      </c>
      <c r="BM18" s="175">
        <v>27.29</v>
      </c>
      <c r="BN18" s="186">
        <v>979.83</v>
      </c>
      <c r="BO18" s="179">
        <v>50.09</v>
      </c>
      <c r="BP18" s="180">
        <v>0.93969999999999998</v>
      </c>
      <c r="BQ18" s="186">
        <v>96.95</v>
      </c>
      <c r="BR18" s="186">
        <v>87.32</v>
      </c>
      <c r="BS18" s="175">
        <v>12318</v>
      </c>
      <c r="BT18" s="175">
        <v>11768</v>
      </c>
      <c r="BU18" s="51">
        <f t="shared" si="27"/>
        <v>-550</v>
      </c>
      <c r="BV18" s="175">
        <f t="shared" si="28"/>
        <v>0</v>
      </c>
      <c r="BW18" s="177">
        <v>0</v>
      </c>
      <c r="BX18" s="177">
        <v>0</v>
      </c>
      <c r="BZ18" s="177">
        <v>24</v>
      </c>
      <c r="CA18" s="177">
        <v>7.77</v>
      </c>
      <c r="CC18" s="177">
        <v>2.1</v>
      </c>
      <c r="CD18" s="177">
        <v>4.2</v>
      </c>
      <c r="CE18" s="177">
        <v>2</v>
      </c>
      <c r="CF18" s="177">
        <v>0</v>
      </c>
    </row>
    <row r="19" spans="1:84">
      <c r="A19" s="451" t="s">
        <v>219</v>
      </c>
      <c r="B19" s="24">
        <v>43262</v>
      </c>
      <c r="C19" s="25">
        <v>97</v>
      </c>
      <c r="D19" s="26">
        <v>0.54</v>
      </c>
      <c r="E19" s="25">
        <v>78</v>
      </c>
      <c r="F19" s="27">
        <v>106</v>
      </c>
      <c r="G19" s="27">
        <v>88</v>
      </c>
      <c r="H19" s="27">
        <v>24</v>
      </c>
      <c r="I19" s="27">
        <v>0</v>
      </c>
      <c r="J19" s="27">
        <v>24</v>
      </c>
      <c r="K19" s="27">
        <v>0</v>
      </c>
      <c r="L19" s="27">
        <v>0</v>
      </c>
      <c r="M19" s="27">
        <v>0</v>
      </c>
      <c r="N19" s="29">
        <v>0</v>
      </c>
      <c r="O19" s="29">
        <v>0</v>
      </c>
      <c r="P19" s="29">
        <v>0</v>
      </c>
      <c r="Q19" s="27">
        <v>0</v>
      </c>
      <c r="R19" s="251">
        <v>3421</v>
      </c>
      <c r="S19" s="253">
        <v>2952</v>
      </c>
      <c r="T19" s="27">
        <v>2952</v>
      </c>
      <c r="U19" s="27">
        <v>2872</v>
      </c>
      <c r="V19" s="27">
        <v>2975</v>
      </c>
      <c r="W19" s="27">
        <v>41</v>
      </c>
      <c r="X19" s="27">
        <v>0</v>
      </c>
      <c r="Y19" s="27">
        <v>43</v>
      </c>
      <c r="Z19" s="27">
        <v>0</v>
      </c>
      <c r="AA19" s="27">
        <v>57</v>
      </c>
      <c r="AB19" s="29">
        <v>0</v>
      </c>
      <c r="AC19" s="32">
        <f t="shared" si="15"/>
        <v>103</v>
      </c>
      <c r="AD19" s="33">
        <f t="shared" si="16"/>
        <v>-80</v>
      </c>
      <c r="AE19" s="27">
        <v>125</v>
      </c>
      <c r="AF19" s="34">
        <f t="shared" si="17"/>
        <v>0.9916666666666667</v>
      </c>
      <c r="AG19" s="35">
        <f t="shared" si="18"/>
        <v>142.54166666666666</v>
      </c>
      <c r="AH19" s="34">
        <f t="shared" si="19"/>
        <v>0.83952060800935402</v>
      </c>
      <c r="AI19" s="226">
        <f t="shared" si="29"/>
        <v>1</v>
      </c>
      <c r="AJ19" s="37">
        <f t="shared" si="20"/>
        <v>0.88652482269503552</v>
      </c>
      <c r="AK19" s="255">
        <v>9.2609999999999992</v>
      </c>
      <c r="AL19" s="256">
        <v>153.19999999999999</v>
      </c>
      <c r="AM19" s="38">
        <f t="shared" si="21"/>
        <v>1418.7851999999998</v>
      </c>
      <c r="AN19" s="255">
        <v>23.749929999999999</v>
      </c>
      <c r="AO19" s="320">
        <v>987.96</v>
      </c>
      <c r="AP19" s="39">
        <f t="shared" si="22"/>
        <v>23463.9808428</v>
      </c>
      <c r="AQ19" s="201">
        <f t="shared" si="23"/>
        <v>8663.9157530640659</v>
      </c>
      <c r="AR19" s="229">
        <f t="shared" si="30"/>
        <v>123</v>
      </c>
      <c r="AS19" s="13"/>
      <c r="AT19" s="27">
        <v>0</v>
      </c>
      <c r="AU19" s="40">
        <v>0</v>
      </c>
      <c r="AV19" s="40">
        <v>0</v>
      </c>
      <c r="AW19" s="27">
        <v>0</v>
      </c>
      <c r="AX19" s="40">
        <v>16</v>
      </c>
      <c r="AY19" s="27">
        <v>1440</v>
      </c>
      <c r="AZ19" s="27">
        <v>0</v>
      </c>
      <c r="BA19" s="332"/>
      <c r="BB19" s="52">
        <v>977</v>
      </c>
      <c r="BC19" s="52">
        <v>1023</v>
      </c>
      <c r="BD19" s="52">
        <v>975</v>
      </c>
      <c r="BE19" s="41">
        <f t="shared" si="24"/>
        <v>46</v>
      </c>
      <c r="BF19" s="41">
        <f t="shared" si="25"/>
        <v>8663.9157530640659</v>
      </c>
      <c r="BG19" s="60">
        <f t="shared" si="26"/>
        <v>40.625</v>
      </c>
      <c r="BH19" s="61">
        <v>0</v>
      </c>
      <c r="BI19" s="62">
        <v>0</v>
      </c>
      <c r="BJ19" s="42">
        <v>27</v>
      </c>
      <c r="BK19" s="41">
        <v>25.5</v>
      </c>
      <c r="BL19" s="41">
        <v>20.57</v>
      </c>
      <c r="BM19" s="41">
        <v>27.59</v>
      </c>
      <c r="BN19" s="54">
        <v>977.6</v>
      </c>
      <c r="BO19" s="63">
        <v>50.1</v>
      </c>
      <c r="BP19" s="64">
        <v>0.94130000000000003</v>
      </c>
      <c r="BQ19" s="42">
        <v>96.56</v>
      </c>
      <c r="BR19" s="42">
        <v>87.38</v>
      </c>
      <c r="BS19" s="41">
        <v>12239</v>
      </c>
      <c r="BT19" s="41">
        <v>11733</v>
      </c>
      <c r="BU19" s="51">
        <f t="shared" si="27"/>
        <v>-506</v>
      </c>
      <c r="BV19" s="41">
        <f t="shared" si="28"/>
        <v>0</v>
      </c>
      <c r="BW19" s="42">
        <v>0</v>
      </c>
      <c r="BX19" s="42">
        <v>0</v>
      </c>
      <c r="BZ19" s="42">
        <v>23.6</v>
      </c>
      <c r="CA19" s="42">
        <v>7.6</v>
      </c>
      <c r="CC19" s="42">
        <v>2.1</v>
      </c>
      <c r="CD19" s="42">
        <v>4.3</v>
      </c>
      <c r="CE19" s="42">
        <v>2.1</v>
      </c>
      <c r="CF19" s="42">
        <v>0</v>
      </c>
    </row>
    <row r="20" spans="1:84">
      <c r="A20" s="452"/>
      <c r="B20" s="24">
        <v>43263</v>
      </c>
      <c r="C20" s="25">
        <v>100.4</v>
      </c>
      <c r="D20" s="26">
        <v>0.45</v>
      </c>
      <c r="E20" s="25">
        <v>75</v>
      </c>
      <c r="F20" s="27">
        <v>112</v>
      </c>
      <c r="G20" s="27">
        <v>89</v>
      </c>
      <c r="H20" s="27">
        <v>24</v>
      </c>
      <c r="I20" s="27">
        <v>0</v>
      </c>
      <c r="J20" s="27">
        <v>24</v>
      </c>
      <c r="K20" s="27">
        <v>0</v>
      </c>
      <c r="L20" s="29">
        <v>0</v>
      </c>
      <c r="M20" s="29">
        <v>0</v>
      </c>
      <c r="N20" s="29">
        <v>0</v>
      </c>
      <c r="O20" s="29">
        <v>0</v>
      </c>
      <c r="P20" s="29">
        <v>0</v>
      </c>
      <c r="Q20" s="27">
        <v>0</v>
      </c>
      <c r="R20" s="252">
        <v>3390</v>
      </c>
      <c r="S20" s="253">
        <v>2959</v>
      </c>
      <c r="T20" s="27">
        <v>2959</v>
      </c>
      <c r="U20" s="27">
        <v>2880</v>
      </c>
      <c r="V20" s="27">
        <v>2984</v>
      </c>
      <c r="W20" s="27">
        <v>41</v>
      </c>
      <c r="X20" s="27">
        <v>0</v>
      </c>
      <c r="Y20" s="27">
        <v>42</v>
      </c>
      <c r="Z20" s="29">
        <v>0</v>
      </c>
      <c r="AA20" s="29">
        <v>57</v>
      </c>
      <c r="AB20" s="29">
        <v>0</v>
      </c>
      <c r="AC20" s="32">
        <f t="shared" si="15"/>
        <v>104</v>
      </c>
      <c r="AD20" s="33">
        <f t="shared" si="16"/>
        <v>-79</v>
      </c>
      <c r="AE20" s="27">
        <v>126</v>
      </c>
      <c r="AF20" s="34">
        <f t="shared" si="17"/>
        <v>0.98677248677248675</v>
      </c>
      <c r="AG20" s="35">
        <f t="shared" si="18"/>
        <v>141.25</v>
      </c>
      <c r="AH20" s="34">
        <f t="shared" si="19"/>
        <v>0.84955752212389379</v>
      </c>
      <c r="AI20" s="226">
        <f t="shared" si="29"/>
        <v>1</v>
      </c>
      <c r="AJ20" s="37">
        <f t="shared" si="20"/>
        <v>0.88571428571428568</v>
      </c>
      <c r="AK20" s="255">
        <v>9.2759999999999998</v>
      </c>
      <c r="AL20" s="256">
        <v>154.32</v>
      </c>
      <c r="AM20" s="38">
        <f t="shared" si="21"/>
        <v>1431.4723199999999</v>
      </c>
      <c r="AN20" s="255">
        <v>23.656089999999999</v>
      </c>
      <c r="AO20" s="320">
        <v>995.05399999999997</v>
      </c>
      <c r="AP20" s="39">
        <f t="shared" si="22"/>
        <v>23539.086978859999</v>
      </c>
      <c r="AQ20" s="201">
        <f t="shared" si="23"/>
        <v>8670.333089881944</v>
      </c>
      <c r="AR20" s="229">
        <f t="shared" si="30"/>
        <v>123.29166666666667</v>
      </c>
      <c r="AS20" s="13"/>
      <c r="AT20" s="27">
        <v>0</v>
      </c>
      <c r="AU20" s="40">
        <v>0</v>
      </c>
      <c r="AV20" s="40">
        <v>0</v>
      </c>
      <c r="AW20" s="40">
        <v>0</v>
      </c>
      <c r="AX20" s="40">
        <v>16</v>
      </c>
      <c r="AY20" s="40">
        <v>1440</v>
      </c>
      <c r="AZ20" s="27">
        <v>0</v>
      </c>
      <c r="BA20" s="332"/>
      <c r="BB20" s="52">
        <v>980</v>
      </c>
      <c r="BC20" s="52">
        <v>1025</v>
      </c>
      <c r="BD20" s="52">
        <v>979</v>
      </c>
      <c r="BE20" s="41">
        <f t="shared" si="24"/>
        <v>45</v>
      </c>
      <c r="BF20" s="41">
        <f t="shared" si="25"/>
        <v>8670.333089881944</v>
      </c>
      <c r="BG20" s="60">
        <f t="shared" si="26"/>
        <v>40.791666666666664</v>
      </c>
      <c r="BH20" s="43">
        <v>0</v>
      </c>
      <c r="BI20" s="44">
        <v>0</v>
      </c>
      <c r="BJ20" s="45">
        <v>27</v>
      </c>
      <c r="BK20" s="47">
        <v>25.37</v>
      </c>
      <c r="BL20" s="47">
        <v>20.51</v>
      </c>
      <c r="BM20" s="47">
        <v>27.6</v>
      </c>
      <c r="BN20" s="45">
        <v>973.8</v>
      </c>
      <c r="BO20" s="45">
        <v>50.06</v>
      </c>
      <c r="BP20" s="48">
        <v>0.94140000000000001</v>
      </c>
      <c r="BQ20" s="42">
        <v>96</v>
      </c>
      <c r="BR20" s="42">
        <v>87.2</v>
      </c>
      <c r="BS20" s="41">
        <v>12155</v>
      </c>
      <c r="BT20" s="41">
        <v>11683</v>
      </c>
      <c r="BU20" s="51">
        <f t="shared" si="27"/>
        <v>-472</v>
      </c>
      <c r="BV20" s="41">
        <f t="shared" si="28"/>
        <v>0</v>
      </c>
      <c r="BW20" s="42">
        <v>0</v>
      </c>
      <c r="BX20" s="42">
        <v>0</v>
      </c>
      <c r="BZ20" s="42">
        <v>23.4</v>
      </c>
      <c r="CA20" s="42">
        <v>9</v>
      </c>
      <c r="CC20" s="42">
        <v>2.1</v>
      </c>
      <c r="CD20" s="42">
        <v>4.2</v>
      </c>
      <c r="CE20" s="42">
        <v>2.1</v>
      </c>
      <c r="CF20" s="42">
        <v>0</v>
      </c>
    </row>
    <row r="21" spans="1:84">
      <c r="A21" s="452"/>
      <c r="B21" s="24">
        <v>43264</v>
      </c>
      <c r="C21" s="25">
        <v>98.2</v>
      </c>
      <c r="D21" s="26">
        <v>0.49</v>
      </c>
      <c r="E21" s="25">
        <v>76</v>
      </c>
      <c r="F21" s="27">
        <v>108</v>
      </c>
      <c r="G21" s="27">
        <v>90</v>
      </c>
      <c r="H21" s="27">
        <v>24</v>
      </c>
      <c r="I21" s="27">
        <v>0</v>
      </c>
      <c r="J21" s="27">
        <v>24</v>
      </c>
      <c r="K21" s="27">
        <v>0</v>
      </c>
      <c r="L21" s="29">
        <v>0</v>
      </c>
      <c r="M21" s="29">
        <v>0</v>
      </c>
      <c r="N21" s="29">
        <v>0</v>
      </c>
      <c r="O21" s="29">
        <v>0</v>
      </c>
      <c r="P21" s="29">
        <v>0</v>
      </c>
      <c r="Q21" s="27">
        <v>0</v>
      </c>
      <c r="R21" s="252">
        <v>3411</v>
      </c>
      <c r="S21" s="253">
        <v>2959</v>
      </c>
      <c r="T21" s="253">
        <v>2959</v>
      </c>
      <c r="U21" s="253">
        <v>2884</v>
      </c>
      <c r="V21" s="253">
        <v>2988</v>
      </c>
      <c r="W21" s="27">
        <v>41</v>
      </c>
      <c r="X21" s="27">
        <v>0</v>
      </c>
      <c r="Y21" s="27">
        <v>43</v>
      </c>
      <c r="Z21" s="29">
        <v>0</v>
      </c>
      <c r="AA21" s="29">
        <v>57</v>
      </c>
      <c r="AB21" s="29">
        <v>0</v>
      </c>
      <c r="AC21" s="32">
        <f t="shared" si="15"/>
        <v>104</v>
      </c>
      <c r="AD21" s="33">
        <f t="shared" si="16"/>
        <v>-75</v>
      </c>
      <c r="AE21" s="27">
        <v>127</v>
      </c>
      <c r="AF21" s="34">
        <f t="shared" si="17"/>
        <v>0.98031496062992129</v>
      </c>
      <c r="AG21" s="35">
        <f t="shared" si="18"/>
        <v>142.125</v>
      </c>
      <c r="AH21" s="34">
        <f>IF(U21&gt;0,(U21/R21),"no data")</f>
        <v>0.84549985341542067</v>
      </c>
      <c r="AI21" s="226">
        <f t="shared" si="29"/>
        <v>1</v>
      </c>
      <c r="AJ21" s="37">
        <f t="shared" si="20"/>
        <v>0.88652482269503552</v>
      </c>
      <c r="AK21" s="255">
        <v>9.26</v>
      </c>
      <c r="AL21" s="256">
        <v>152.22999999999999</v>
      </c>
      <c r="AM21" s="38">
        <f t="shared" si="21"/>
        <v>1409.6497999999999</v>
      </c>
      <c r="AN21" s="255">
        <v>23.793230000000001</v>
      </c>
      <c r="AO21" s="320">
        <v>991.3</v>
      </c>
      <c r="AP21" s="39">
        <f t="shared" si="22"/>
        <v>23586.228899000002</v>
      </c>
      <c r="AQ21" s="201">
        <f t="shared" si="23"/>
        <v>8667.086927531207</v>
      </c>
      <c r="AR21" s="229">
        <f t="shared" si="30"/>
        <v>123.29166666666667</v>
      </c>
      <c r="AS21" s="13"/>
      <c r="AT21" s="27">
        <v>0</v>
      </c>
      <c r="AU21" s="40">
        <v>0</v>
      </c>
      <c r="AV21" s="40">
        <v>0</v>
      </c>
      <c r="AW21" s="27">
        <v>0</v>
      </c>
      <c r="AX21" s="40">
        <v>16</v>
      </c>
      <c r="AY21" s="27">
        <v>1440</v>
      </c>
      <c r="AZ21" s="27">
        <v>0</v>
      </c>
      <c r="BA21" s="332"/>
      <c r="BB21" s="52">
        <v>983</v>
      </c>
      <c r="BC21" s="52">
        <v>1027</v>
      </c>
      <c r="BD21" s="52">
        <v>978</v>
      </c>
      <c r="BE21" s="41">
        <f t="shared" si="24"/>
        <v>44</v>
      </c>
      <c r="BF21" s="41">
        <f t="shared" si="25"/>
        <v>8667.086927531207</v>
      </c>
      <c r="BG21" s="60">
        <f t="shared" si="26"/>
        <v>40.75</v>
      </c>
      <c r="BH21" s="43">
        <v>0</v>
      </c>
      <c r="BI21" s="44">
        <v>0</v>
      </c>
      <c r="BJ21" s="45">
        <v>27</v>
      </c>
      <c r="BK21" s="45">
        <v>25.51</v>
      </c>
      <c r="BL21" s="47">
        <v>20.52</v>
      </c>
      <c r="BM21" s="47">
        <v>27.57</v>
      </c>
      <c r="BN21" s="45">
        <v>974.1</v>
      </c>
      <c r="BO21" s="45">
        <v>50.13</v>
      </c>
      <c r="BP21" s="48">
        <v>0.94069999999999998</v>
      </c>
      <c r="BQ21" s="42">
        <v>96.38</v>
      </c>
      <c r="BR21" s="42">
        <v>87.14</v>
      </c>
      <c r="BS21" s="41">
        <v>12179</v>
      </c>
      <c r="BT21" s="41">
        <v>11658</v>
      </c>
      <c r="BU21" s="51">
        <f t="shared" si="27"/>
        <v>-521</v>
      </c>
      <c r="BV21" s="41">
        <f t="shared" si="28"/>
        <v>0</v>
      </c>
      <c r="BW21" s="42">
        <v>0</v>
      </c>
      <c r="BX21" s="42">
        <v>0</v>
      </c>
      <c r="BZ21" s="42">
        <v>24</v>
      </c>
      <c r="CA21" s="42">
        <v>4.7</v>
      </c>
      <c r="CC21" s="42">
        <v>2.1</v>
      </c>
      <c r="CD21" s="42">
        <v>4.2</v>
      </c>
      <c r="CE21" s="42">
        <v>2.1</v>
      </c>
      <c r="CF21" s="42">
        <v>0</v>
      </c>
    </row>
    <row r="22" spans="1:84">
      <c r="A22" s="452"/>
      <c r="B22" s="24">
        <v>43265</v>
      </c>
      <c r="C22" s="25">
        <v>96.8</v>
      </c>
      <c r="D22" s="26">
        <v>0.53300000000000003</v>
      </c>
      <c r="E22" s="38">
        <v>76.400000000000006</v>
      </c>
      <c r="F22" s="27">
        <v>105</v>
      </c>
      <c r="G22" s="27">
        <v>90</v>
      </c>
      <c r="H22" s="27">
        <v>24</v>
      </c>
      <c r="I22" s="27">
        <v>0</v>
      </c>
      <c r="J22" s="27">
        <v>24</v>
      </c>
      <c r="K22" s="27">
        <v>0</v>
      </c>
      <c r="L22" s="29">
        <v>0</v>
      </c>
      <c r="M22" s="29">
        <v>0</v>
      </c>
      <c r="N22" s="29">
        <v>0</v>
      </c>
      <c r="O22" s="29">
        <v>0</v>
      </c>
      <c r="P22" s="29">
        <v>0</v>
      </c>
      <c r="Q22" s="27">
        <v>0</v>
      </c>
      <c r="R22" s="252">
        <v>3431</v>
      </c>
      <c r="S22" s="253">
        <v>2957</v>
      </c>
      <c r="T22" s="27">
        <v>2957</v>
      </c>
      <c r="U22" s="27">
        <v>2887</v>
      </c>
      <c r="V22" s="27">
        <v>2990</v>
      </c>
      <c r="W22" s="27">
        <v>41</v>
      </c>
      <c r="X22" s="27">
        <v>0</v>
      </c>
      <c r="Y22" s="27">
        <v>43</v>
      </c>
      <c r="Z22" s="29">
        <v>0</v>
      </c>
      <c r="AA22" s="29">
        <v>57</v>
      </c>
      <c r="AB22" s="29">
        <v>0</v>
      </c>
      <c r="AC22" s="32">
        <f t="shared" si="15"/>
        <v>103</v>
      </c>
      <c r="AD22" s="33">
        <f t="shared" si="16"/>
        <v>-70</v>
      </c>
      <c r="AE22" s="27">
        <v>127</v>
      </c>
      <c r="AF22" s="34">
        <f t="shared" si="17"/>
        <v>0.98097112860892388</v>
      </c>
      <c r="AG22" s="35">
        <f t="shared" si="18"/>
        <v>142.95833333333334</v>
      </c>
      <c r="AH22" s="34">
        <f t="shared" si="19"/>
        <v>0.84144564266977562</v>
      </c>
      <c r="AI22" s="226">
        <f t="shared" si="29"/>
        <v>1</v>
      </c>
      <c r="AJ22" s="37">
        <f t="shared" si="20"/>
        <v>0.88652482269503552</v>
      </c>
      <c r="AK22" s="255">
        <v>9.2750000000000004</v>
      </c>
      <c r="AL22" s="256">
        <v>150.65</v>
      </c>
      <c r="AM22" s="38">
        <f t="shared" si="21"/>
        <v>1397.2787500000002</v>
      </c>
      <c r="AN22" s="255">
        <v>23.835729999999998</v>
      </c>
      <c r="AO22" s="320">
        <v>992.65790000000004</v>
      </c>
      <c r="AP22" s="39">
        <f t="shared" si="22"/>
        <v>23660.725686767</v>
      </c>
      <c r="AQ22" s="201">
        <f t="shared" si="23"/>
        <v>8679.5997356311054</v>
      </c>
      <c r="AR22" s="229">
        <f t="shared" si="30"/>
        <v>123.20833333333333</v>
      </c>
      <c r="AS22" s="13"/>
      <c r="AT22" s="27">
        <v>0</v>
      </c>
      <c r="AU22" s="40">
        <v>0</v>
      </c>
      <c r="AV22" s="40">
        <v>0</v>
      </c>
      <c r="AW22" s="27">
        <v>0</v>
      </c>
      <c r="AX22" s="40">
        <v>16</v>
      </c>
      <c r="AY22" s="27">
        <v>1440</v>
      </c>
      <c r="AZ22" s="27">
        <v>0</v>
      </c>
      <c r="BA22" s="332"/>
      <c r="BB22" s="52">
        <v>983</v>
      </c>
      <c r="BC22" s="52">
        <v>1029</v>
      </c>
      <c r="BD22" s="52">
        <v>978</v>
      </c>
      <c r="BE22" s="41">
        <f t="shared" si="24"/>
        <v>46</v>
      </c>
      <c r="BF22" s="41">
        <f t="shared" si="25"/>
        <v>8679.5997356311054</v>
      </c>
      <c r="BG22" s="60">
        <f t="shared" si="26"/>
        <v>40.75</v>
      </c>
      <c r="BH22" s="43">
        <v>0</v>
      </c>
      <c r="BI22" s="44">
        <v>0</v>
      </c>
      <c r="BJ22" s="45">
        <v>27</v>
      </c>
      <c r="BK22" s="47">
        <v>25.5</v>
      </c>
      <c r="BL22" s="47">
        <v>20.58</v>
      </c>
      <c r="BM22" s="47">
        <v>27.3</v>
      </c>
      <c r="BN22" s="45">
        <v>974.08</v>
      </c>
      <c r="BO22" s="45">
        <v>50.17</v>
      </c>
      <c r="BP22" s="48">
        <v>0.94130000000000003</v>
      </c>
      <c r="BQ22" s="42">
        <v>96.51</v>
      </c>
      <c r="BR22" s="42">
        <v>87.21</v>
      </c>
      <c r="BS22" s="41">
        <v>12190</v>
      </c>
      <c r="BT22" s="41">
        <v>11661</v>
      </c>
      <c r="BU22" s="51">
        <f t="shared" si="27"/>
        <v>-529</v>
      </c>
      <c r="BV22" s="41">
        <f t="shared" si="28"/>
        <v>0</v>
      </c>
      <c r="BW22" s="42">
        <v>0</v>
      </c>
      <c r="BX22" s="42">
        <v>0</v>
      </c>
      <c r="BZ22" s="42">
        <v>24</v>
      </c>
      <c r="CA22" s="42">
        <v>7.75</v>
      </c>
      <c r="CC22" s="42">
        <v>2.1</v>
      </c>
      <c r="CD22" s="42">
        <v>4.2</v>
      </c>
      <c r="CE22" s="42">
        <v>2.1</v>
      </c>
      <c r="CF22" s="42">
        <v>0</v>
      </c>
    </row>
    <row r="23" spans="1:84">
      <c r="A23" s="452"/>
      <c r="B23" s="24">
        <v>43266</v>
      </c>
      <c r="C23" s="25">
        <v>95.8</v>
      </c>
      <c r="D23" s="26">
        <v>0.53900000000000003</v>
      </c>
      <c r="E23" s="38">
        <v>76.2</v>
      </c>
      <c r="F23" s="28">
        <v>103</v>
      </c>
      <c r="G23" s="28">
        <v>88</v>
      </c>
      <c r="H23" s="28">
        <v>24</v>
      </c>
      <c r="I23" s="28">
        <v>0</v>
      </c>
      <c r="J23" s="28">
        <v>24</v>
      </c>
      <c r="K23" s="28">
        <v>0</v>
      </c>
      <c r="L23" s="28">
        <v>0</v>
      </c>
      <c r="M23" s="28">
        <v>0</v>
      </c>
      <c r="N23" s="28">
        <v>0</v>
      </c>
      <c r="O23" s="28">
        <v>0</v>
      </c>
      <c r="P23" s="28">
        <v>0</v>
      </c>
      <c r="Q23" s="27">
        <v>0</v>
      </c>
      <c r="R23" s="252">
        <v>3444</v>
      </c>
      <c r="S23" s="253">
        <v>2957</v>
      </c>
      <c r="T23" s="28">
        <v>2957</v>
      </c>
      <c r="U23" s="28">
        <v>2889</v>
      </c>
      <c r="V23" s="28">
        <v>2986</v>
      </c>
      <c r="W23" s="28">
        <v>41</v>
      </c>
      <c r="X23" s="28">
        <v>0</v>
      </c>
      <c r="Y23" s="28">
        <v>43</v>
      </c>
      <c r="Z23" s="28">
        <v>0</v>
      </c>
      <c r="AA23" s="28">
        <v>57</v>
      </c>
      <c r="AB23" s="28">
        <v>0</v>
      </c>
      <c r="AC23" s="32">
        <f>V23-U23+AZ23</f>
        <v>97</v>
      </c>
      <c r="AD23" s="33">
        <f t="shared" si="16"/>
        <v>-68</v>
      </c>
      <c r="AE23" s="28">
        <v>127</v>
      </c>
      <c r="AF23" s="34">
        <f t="shared" si="17"/>
        <v>0.9796587926509186</v>
      </c>
      <c r="AG23" s="35">
        <f t="shared" si="18"/>
        <v>143.5</v>
      </c>
      <c r="AH23" s="34">
        <f t="shared" si="19"/>
        <v>0.83885017421602792</v>
      </c>
      <c r="AI23" s="226">
        <f t="shared" si="29"/>
        <v>1</v>
      </c>
      <c r="AJ23" s="37">
        <f t="shared" si="20"/>
        <v>0.88652482269503552</v>
      </c>
      <c r="AK23" s="255">
        <v>9.0860000000000003</v>
      </c>
      <c r="AL23" s="256">
        <v>151.62</v>
      </c>
      <c r="AM23" s="38">
        <f t="shared" si="21"/>
        <v>1377.61932</v>
      </c>
      <c r="AN23" s="255">
        <v>23.804869999999998</v>
      </c>
      <c r="AO23" s="320">
        <v>994.78</v>
      </c>
      <c r="AP23" s="39">
        <f t="shared" si="22"/>
        <v>23680.608578599997</v>
      </c>
      <c r="AQ23" s="201">
        <f t="shared" si="23"/>
        <v>8673.6683622706805</v>
      </c>
      <c r="AR23" s="229">
        <f t="shared" si="30"/>
        <v>123.20833333333333</v>
      </c>
      <c r="AS23" s="13"/>
      <c r="AT23" s="28">
        <v>0</v>
      </c>
      <c r="AU23" s="40">
        <v>0</v>
      </c>
      <c r="AV23" s="40">
        <v>0</v>
      </c>
      <c r="AW23" s="27">
        <v>0</v>
      </c>
      <c r="AX23" s="28">
        <v>16</v>
      </c>
      <c r="AY23" s="28">
        <v>1440</v>
      </c>
      <c r="AZ23" s="28">
        <v>0</v>
      </c>
      <c r="BA23" s="332"/>
      <c r="BB23" s="52">
        <v>982</v>
      </c>
      <c r="BC23" s="52">
        <v>1026</v>
      </c>
      <c r="BD23" s="52">
        <v>978</v>
      </c>
      <c r="BE23" s="41">
        <f t="shared" si="24"/>
        <v>44</v>
      </c>
      <c r="BF23" s="41">
        <f t="shared" si="25"/>
        <v>8673.6683622706805</v>
      </c>
      <c r="BG23" s="60">
        <f t="shared" si="26"/>
        <v>40.75</v>
      </c>
      <c r="BH23" s="71">
        <v>0</v>
      </c>
      <c r="BI23" s="71">
        <v>0</v>
      </c>
      <c r="BJ23" s="72">
        <v>27</v>
      </c>
      <c r="BK23" s="72">
        <v>25.47</v>
      </c>
      <c r="BL23" s="72">
        <v>20.57</v>
      </c>
      <c r="BM23" s="72">
        <v>27.14</v>
      </c>
      <c r="BN23" s="73">
        <v>976.13</v>
      </c>
      <c r="BO23" s="73">
        <v>50.14</v>
      </c>
      <c r="BP23" s="74">
        <v>0.94089999999999996</v>
      </c>
      <c r="BQ23" s="54">
        <v>96.61</v>
      </c>
      <c r="BR23" s="54">
        <v>87.23</v>
      </c>
      <c r="BS23" s="55">
        <v>12160</v>
      </c>
      <c r="BT23" s="55">
        <v>11650</v>
      </c>
      <c r="BU23" s="51">
        <f t="shared" si="27"/>
        <v>-510</v>
      </c>
      <c r="BV23" s="41">
        <f t="shared" si="28"/>
        <v>0</v>
      </c>
      <c r="BW23" s="73">
        <v>0</v>
      </c>
      <c r="BX23" s="73">
        <v>0</v>
      </c>
      <c r="BZ23" s="73">
        <v>24</v>
      </c>
      <c r="CA23" s="73">
        <v>6.92</v>
      </c>
      <c r="CC23" s="73">
        <v>2</v>
      </c>
      <c r="CD23" s="73">
        <v>4.3</v>
      </c>
      <c r="CE23" s="73">
        <v>2.1</v>
      </c>
      <c r="CF23" s="73">
        <v>0</v>
      </c>
    </row>
    <row r="24" spans="1:84">
      <c r="A24" s="452"/>
      <c r="B24" s="24">
        <v>43267</v>
      </c>
      <c r="C24" s="25">
        <v>96.8</v>
      </c>
      <c r="D24" s="26">
        <v>0.58599999999999997</v>
      </c>
      <c r="E24" s="38">
        <v>78.400000000000006</v>
      </c>
      <c r="F24" s="75">
        <v>104</v>
      </c>
      <c r="G24" s="75">
        <v>91</v>
      </c>
      <c r="H24" s="27">
        <v>24</v>
      </c>
      <c r="I24" s="27">
        <v>0</v>
      </c>
      <c r="J24" s="27">
        <v>24</v>
      </c>
      <c r="K24" s="27">
        <v>0</v>
      </c>
      <c r="L24" s="29">
        <v>0</v>
      </c>
      <c r="M24" s="29">
        <v>0</v>
      </c>
      <c r="N24" s="29">
        <v>0</v>
      </c>
      <c r="O24" s="29">
        <v>0</v>
      </c>
      <c r="P24" s="29">
        <v>0</v>
      </c>
      <c r="Q24" s="253">
        <v>0</v>
      </c>
      <c r="R24" s="252">
        <v>3431</v>
      </c>
      <c r="S24" s="253">
        <v>2938</v>
      </c>
      <c r="T24" s="75">
        <v>2938</v>
      </c>
      <c r="U24" s="75">
        <v>2873</v>
      </c>
      <c r="V24" s="27">
        <v>2970</v>
      </c>
      <c r="W24" s="27">
        <v>41</v>
      </c>
      <c r="X24" s="27">
        <v>0</v>
      </c>
      <c r="Y24" s="27">
        <v>42</v>
      </c>
      <c r="Z24" s="29">
        <v>0</v>
      </c>
      <c r="AA24" s="29">
        <v>57</v>
      </c>
      <c r="AB24" s="29">
        <v>0</v>
      </c>
      <c r="AC24" s="32">
        <f t="shared" si="15"/>
        <v>97</v>
      </c>
      <c r="AD24" s="33">
        <f t="shared" si="16"/>
        <v>-65</v>
      </c>
      <c r="AE24" s="28">
        <v>126</v>
      </c>
      <c r="AF24" s="34">
        <f t="shared" si="17"/>
        <v>0.9821428571428571</v>
      </c>
      <c r="AG24" s="35">
        <f t="shared" si="18"/>
        <v>142.95833333333334</v>
      </c>
      <c r="AH24" s="34">
        <f t="shared" si="19"/>
        <v>0.83736519965024769</v>
      </c>
      <c r="AI24" s="226">
        <f t="shared" si="29"/>
        <v>1</v>
      </c>
      <c r="AJ24" s="37">
        <f t="shared" si="20"/>
        <v>0.88571428571428568</v>
      </c>
      <c r="AK24" s="255">
        <v>9.1</v>
      </c>
      <c r="AL24" s="256">
        <v>151.86000000000001</v>
      </c>
      <c r="AM24" s="38">
        <f t="shared" si="21"/>
        <v>1381.9260000000002</v>
      </c>
      <c r="AN24" s="255">
        <v>23.67</v>
      </c>
      <c r="AO24" s="320">
        <v>997.50699999999995</v>
      </c>
      <c r="AP24" s="39">
        <f t="shared" si="22"/>
        <v>23610.990689999999</v>
      </c>
      <c r="AQ24" s="201">
        <f t="shared" si="23"/>
        <v>8699.2400591715977</v>
      </c>
      <c r="AR24" s="229">
        <f t="shared" si="30"/>
        <v>122.41666666666667</v>
      </c>
      <c r="AS24" s="13"/>
      <c r="AT24" s="27">
        <v>0</v>
      </c>
      <c r="AU24" s="40">
        <v>0</v>
      </c>
      <c r="AV24" s="40">
        <v>0</v>
      </c>
      <c r="AW24" s="27">
        <v>0</v>
      </c>
      <c r="AX24" s="40">
        <v>16</v>
      </c>
      <c r="AY24" s="27">
        <v>1440</v>
      </c>
      <c r="AZ24" s="27">
        <v>0</v>
      </c>
      <c r="BA24" s="332"/>
      <c r="BB24" s="52">
        <v>976</v>
      </c>
      <c r="BC24" s="52">
        <v>1021</v>
      </c>
      <c r="BD24" s="52">
        <v>973</v>
      </c>
      <c r="BE24" s="41">
        <f t="shared" si="24"/>
        <v>45</v>
      </c>
      <c r="BF24" s="41">
        <f t="shared" si="25"/>
        <v>8699.2400591715977</v>
      </c>
      <c r="BG24" s="60">
        <f t="shared" si="26"/>
        <v>40.541666666666664</v>
      </c>
      <c r="BH24" s="43">
        <v>0</v>
      </c>
      <c r="BI24" s="44">
        <v>0</v>
      </c>
      <c r="BJ24" s="45">
        <v>27</v>
      </c>
      <c r="BK24" s="47">
        <v>25.33</v>
      </c>
      <c r="BL24" s="47">
        <v>20.440000000000001</v>
      </c>
      <c r="BM24" s="47">
        <v>27.25</v>
      </c>
      <c r="BN24" s="45">
        <v>979.4</v>
      </c>
      <c r="BO24" s="45">
        <v>50.16</v>
      </c>
      <c r="BP24" s="48">
        <v>0.94089999999999996</v>
      </c>
      <c r="BQ24" s="54">
        <v>96.83</v>
      </c>
      <c r="BR24" s="54">
        <v>87.38</v>
      </c>
      <c r="BS24" s="55">
        <v>12173</v>
      </c>
      <c r="BT24" s="55">
        <v>11664</v>
      </c>
      <c r="BU24" s="51">
        <f t="shared" si="27"/>
        <v>-509</v>
      </c>
      <c r="BV24" s="41">
        <f t="shared" si="28"/>
        <v>0</v>
      </c>
      <c r="BW24" s="42">
        <v>0</v>
      </c>
      <c r="BX24" s="42">
        <v>0</v>
      </c>
      <c r="BZ24" s="42">
        <v>24</v>
      </c>
      <c r="CA24" s="42">
        <v>7.27</v>
      </c>
      <c r="CC24" s="42">
        <v>2.1</v>
      </c>
      <c r="CD24" s="42">
        <v>4.3</v>
      </c>
      <c r="CE24" s="42">
        <v>2.1</v>
      </c>
      <c r="CF24" s="42">
        <v>0</v>
      </c>
    </row>
    <row r="25" spans="1:84">
      <c r="A25" s="453"/>
      <c r="B25" s="24">
        <v>43268</v>
      </c>
      <c r="C25" s="25">
        <v>90</v>
      </c>
      <c r="D25" s="26">
        <v>0.59199999999999997</v>
      </c>
      <c r="E25" s="38">
        <v>73.900000000000006</v>
      </c>
      <c r="F25" s="28">
        <v>97</v>
      </c>
      <c r="G25" s="28">
        <v>81</v>
      </c>
      <c r="H25" s="27">
        <v>15</v>
      </c>
      <c r="I25" s="27">
        <v>9</v>
      </c>
      <c r="J25" s="27">
        <v>24</v>
      </c>
      <c r="K25" s="27">
        <v>0</v>
      </c>
      <c r="L25" s="29">
        <v>7</v>
      </c>
      <c r="M25" s="29">
        <v>59</v>
      </c>
      <c r="N25" s="29">
        <v>0</v>
      </c>
      <c r="O25" s="29">
        <v>0</v>
      </c>
      <c r="P25" s="29">
        <v>0</v>
      </c>
      <c r="Q25" s="253">
        <v>0</v>
      </c>
      <c r="R25" s="251">
        <v>3371</v>
      </c>
      <c r="S25" s="253">
        <v>3203</v>
      </c>
      <c r="T25" s="28">
        <v>2540</v>
      </c>
      <c r="U25" s="28">
        <v>2261</v>
      </c>
      <c r="V25" s="27">
        <v>2349</v>
      </c>
      <c r="W25" s="27">
        <v>41</v>
      </c>
      <c r="X25" s="27">
        <v>0</v>
      </c>
      <c r="Y25" s="27">
        <v>43</v>
      </c>
      <c r="Z25" s="29">
        <v>0</v>
      </c>
      <c r="AA25" s="29">
        <v>57</v>
      </c>
      <c r="AB25" s="29">
        <v>0</v>
      </c>
      <c r="AC25" s="32">
        <f t="shared" si="15"/>
        <v>88</v>
      </c>
      <c r="AD25" s="33">
        <f t="shared" si="16"/>
        <v>-279</v>
      </c>
      <c r="AE25" s="28">
        <v>126</v>
      </c>
      <c r="AF25" s="34">
        <f t="shared" si="17"/>
        <v>0.7767857142857143</v>
      </c>
      <c r="AG25" s="35">
        <f t="shared" si="18"/>
        <v>140.45833333333334</v>
      </c>
      <c r="AH25" s="34">
        <f t="shared" si="19"/>
        <v>0.67072085434589146</v>
      </c>
      <c r="AI25" s="226">
        <f t="shared" si="29"/>
        <v>1</v>
      </c>
      <c r="AJ25" s="37">
        <f t="shared" si="20"/>
        <v>0.79731579984239553</v>
      </c>
      <c r="AK25" s="271">
        <v>9.1110000000000007</v>
      </c>
      <c r="AL25" s="272">
        <v>150.97</v>
      </c>
      <c r="AM25" s="38">
        <f t="shared" si="21"/>
        <v>1375.48767</v>
      </c>
      <c r="AN25" s="271">
        <v>18.905999999999999</v>
      </c>
      <c r="AO25" s="320">
        <v>992.91</v>
      </c>
      <c r="AP25" s="39">
        <f t="shared" si="22"/>
        <v>18771.956459999998</v>
      </c>
      <c r="AQ25" s="201">
        <f t="shared" si="23"/>
        <v>8910.8554312251199</v>
      </c>
      <c r="AR25" s="229">
        <f t="shared" si="30"/>
        <v>133.45833333333334</v>
      </c>
      <c r="AS25" s="13"/>
      <c r="AT25" s="27">
        <v>20</v>
      </c>
      <c r="AU25" s="40">
        <v>52</v>
      </c>
      <c r="AV25" s="40">
        <v>11</v>
      </c>
      <c r="AW25" s="27">
        <v>243</v>
      </c>
      <c r="AX25" s="40">
        <v>26</v>
      </c>
      <c r="AY25" s="27">
        <v>1440</v>
      </c>
      <c r="AZ25" s="27">
        <v>0</v>
      </c>
      <c r="BA25" s="332"/>
      <c r="BB25" s="52">
        <v>601</v>
      </c>
      <c r="BC25" s="52">
        <v>994</v>
      </c>
      <c r="BD25" s="52">
        <v>754</v>
      </c>
      <c r="BE25" s="41">
        <f t="shared" si="24"/>
        <v>393</v>
      </c>
      <c r="BF25" s="41">
        <f t="shared" si="25"/>
        <v>8910.8554312251199</v>
      </c>
      <c r="BG25" s="60">
        <f t="shared" si="26"/>
        <v>31.416666666666668</v>
      </c>
      <c r="BH25" s="43">
        <v>0</v>
      </c>
      <c r="BI25" s="44">
        <v>0</v>
      </c>
      <c r="BJ25" s="45">
        <v>27</v>
      </c>
      <c r="BK25" s="47">
        <v>16.12</v>
      </c>
      <c r="BL25" s="47">
        <v>19.93</v>
      </c>
      <c r="BM25" s="47">
        <v>27.18</v>
      </c>
      <c r="BN25" s="45">
        <v>982</v>
      </c>
      <c r="BO25" s="45">
        <v>50.21</v>
      </c>
      <c r="BP25" s="48">
        <v>0.94030000000000002</v>
      </c>
      <c r="BQ25" s="54">
        <v>96.79</v>
      </c>
      <c r="BR25" s="54">
        <v>87.35</v>
      </c>
      <c r="BS25" s="55">
        <v>12049</v>
      </c>
      <c r="BT25" s="55">
        <v>11767</v>
      </c>
      <c r="BU25" s="51">
        <f t="shared" si="27"/>
        <v>-282</v>
      </c>
      <c r="BV25" s="41">
        <f t="shared" si="28"/>
        <v>0</v>
      </c>
      <c r="BW25" s="42">
        <v>0</v>
      </c>
      <c r="BX25" s="42">
        <v>0</v>
      </c>
      <c r="BZ25" s="42">
        <v>10.25</v>
      </c>
      <c r="CA25" s="42">
        <v>5.55</v>
      </c>
      <c r="CC25" s="42">
        <v>2.1</v>
      </c>
      <c r="CD25" s="42">
        <v>4.2</v>
      </c>
      <c r="CE25" s="42">
        <v>2.1</v>
      </c>
      <c r="CF25" s="42">
        <v>0</v>
      </c>
    </row>
    <row r="26" spans="1:84">
      <c r="A26" s="451" t="s">
        <v>220</v>
      </c>
      <c r="B26" s="24">
        <v>43269</v>
      </c>
      <c r="C26" s="157">
        <v>88.4</v>
      </c>
      <c r="D26" s="197">
        <v>0.63200000000000001</v>
      </c>
      <c r="E26" s="171">
        <v>74.8</v>
      </c>
      <c r="F26" s="160">
        <v>97</v>
      </c>
      <c r="G26" s="160">
        <v>79</v>
      </c>
      <c r="H26" s="160">
        <v>2</v>
      </c>
      <c r="I26" s="160">
        <v>40</v>
      </c>
      <c r="J26" s="160">
        <v>2</v>
      </c>
      <c r="K26" s="160">
        <v>40</v>
      </c>
      <c r="L26" s="188">
        <v>21</v>
      </c>
      <c r="M26" s="188">
        <v>0</v>
      </c>
      <c r="N26" s="188">
        <v>21</v>
      </c>
      <c r="O26" s="188">
        <v>3</v>
      </c>
      <c r="P26" s="188">
        <v>0</v>
      </c>
      <c r="Q26" s="262">
        <v>0</v>
      </c>
      <c r="R26" s="257">
        <v>3512</v>
      </c>
      <c r="S26" s="159">
        <v>3371</v>
      </c>
      <c r="T26" s="160">
        <v>356</v>
      </c>
      <c r="U26" s="160">
        <v>350</v>
      </c>
      <c r="V26" s="160">
        <v>360</v>
      </c>
      <c r="W26" s="160">
        <v>41</v>
      </c>
      <c r="X26" s="160">
        <v>0</v>
      </c>
      <c r="Y26" s="160">
        <v>43</v>
      </c>
      <c r="Z26" s="188">
        <v>0</v>
      </c>
      <c r="AA26" s="188">
        <v>57</v>
      </c>
      <c r="AB26" s="188">
        <v>0</v>
      </c>
      <c r="AC26" s="165">
        <f t="shared" si="15"/>
        <v>30</v>
      </c>
      <c r="AD26" s="166">
        <f t="shared" si="16"/>
        <v>-6</v>
      </c>
      <c r="AE26" s="160">
        <v>126</v>
      </c>
      <c r="AF26" s="167">
        <f t="shared" si="17"/>
        <v>0.11904761904761904</v>
      </c>
      <c r="AG26" s="168">
        <f t="shared" si="18"/>
        <v>146.33333333333334</v>
      </c>
      <c r="AH26" s="167">
        <f t="shared" si="19"/>
        <v>9.9658314350797264E-2</v>
      </c>
      <c r="AI26" s="169">
        <f t="shared" si="29"/>
        <v>1</v>
      </c>
      <c r="AJ26" s="170">
        <f t="shared" si="20"/>
        <v>0.97464046493301815</v>
      </c>
      <c r="AK26" s="273">
        <v>1.1279999999999999</v>
      </c>
      <c r="AL26" s="274">
        <v>149.36000000000001</v>
      </c>
      <c r="AM26" s="275">
        <f t="shared" si="21"/>
        <v>168.47808000000001</v>
      </c>
      <c r="AN26" s="273">
        <v>2.9279999999999999</v>
      </c>
      <c r="AO26" s="321">
        <v>996.77</v>
      </c>
      <c r="AP26" s="172">
        <f t="shared" si="22"/>
        <v>2918.5425599999999</v>
      </c>
      <c r="AQ26" s="202">
        <f t="shared" si="23"/>
        <v>8820.0589714285707</v>
      </c>
      <c r="AR26" s="199">
        <f t="shared" si="30"/>
        <v>140.45833333333334</v>
      </c>
      <c r="AS26" s="13"/>
      <c r="AT26" s="159">
        <v>18</v>
      </c>
      <c r="AU26" s="174">
        <v>20</v>
      </c>
      <c r="AV26" s="174">
        <v>17</v>
      </c>
      <c r="AW26" s="159">
        <v>17</v>
      </c>
      <c r="AX26" s="174">
        <v>25</v>
      </c>
      <c r="AY26" s="159">
        <v>180</v>
      </c>
      <c r="AZ26" s="159">
        <v>20</v>
      </c>
      <c r="BA26" s="332"/>
      <c r="BB26" s="175">
        <v>119</v>
      </c>
      <c r="BC26" s="175">
        <v>122</v>
      </c>
      <c r="BD26" s="175">
        <v>119</v>
      </c>
      <c r="BE26" s="175">
        <f t="shared" si="24"/>
        <v>3</v>
      </c>
      <c r="BF26" s="175">
        <f t="shared" si="25"/>
        <v>8820.0589714285707</v>
      </c>
      <c r="BG26" s="177">
        <f t="shared" si="26"/>
        <v>4.958333333333333</v>
      </c>
      <c r="BH26" s="191">
        <v>0</v>
      </c>
      <c r="BI26" s="155">
        <v>0</v>
      </c>
      <c r="BJ26" s="181">
        <v>27</v>
      </c>
      <c r="BK26" s="192">
        <v>3.27</v>
      </c>
      <c r="BL26" s="192">
        <v>2.5</v>
      </c>
      <c r="BM26" s="192">
        <v>3.09</v>
      </c>
      <c r="BN26" s="192">
        <v>984.21</v>
      </c>
      <c r="BO26" s="192">
        <v>50.09</v>
      </c>
      <c r="BP26" s="193">
        <v>0.9415</v>
      </c>
      <c r="BQ26" s="194">
        <v>97.12</v>
      </c>
      <c r="BR26" s="194">
        <v>87.38</v>
      </c>
      <c r="BS26" s="194">
        <v>12047</v>
      </c>
      <c r="BT26" s="194">
        <v>11554</v>
      </c>
      <c r="BU26" s="51">
        <f t="shared" si="27"/>
        <v>-493</v>
      </c>
      <c r="BV26" s="175">
        <f t="shared" si="28"/>
        <v>0</v>
      </c>
      <c r="BW26" s="177">
        <v>0</v>
      </c>
      <c r="BX26" s="177">
        <v>0</v>
      </c>
      <c r="BZ26" s="177">
        <v>2.66</v>
      </c>
      <c r="CA26" s="177">
        <v>5.0199999999999996</v>
      </c>
      <c r="CC26" s="177">
        <v>2.1</v>
      </c>
      <c r="CD26" s="177">
        <v>1.3</v>
      </c>
      <c r="CE26" s="177">
        <v>2.1</v>
      </c>
      <c r="CF26" s="177">
        <v>0</v>
      </c>
    </row>
    <row r="27" spans="1:84">
      <c r="A27" s="452"/>
      <c r="B27" s="24">
        <v>43270</v>
      </c>
      <c r="C27" s="157">
        <v>93.7</v>
      </c>
      <c r="D27" s="197">
        <v>0.58199999999999996</v>
      </c>
      <c r="E27" s="171">
        <v>77</v>
      </c>
      <c r="F27" s="160">
        <v>103</v>
      </c>
      <c r="G27" s="160">
        <v>83</v>
      </c>
      <c r="H27" s="160">
        <v>11</v>
      </c>
      <c r="I27" s="160">
        <v>30</v>
      </c>
      <c r="J27" s="160">
        <v>13</v>
      </c>
      <c r="K27" s="160">
        <v>25</v>
      </c>
      <c r="L27" s="188">
        <v>11</v>
      </c>
      <c r="M27" s="188">
        <v>59</v>
      </c>
      <c r="N27" s="188">
        <v>8</v>
      </c>
      <c r="O27" s="188">
        <v>38</v>
      </c>
      <c r="P27" s="188">
        <v>0</v>
      </c>
      <c r="Q27" s="262">
        <v>0</v>
      </c>
      <c r="R27" s="257">
        <v>3461</v>
      </c>
      <c r="S27" s="159">
        <v>3157</v>
      </c>
      <c r="T27" s="160">
        <v>1579</v>
      </c>
      <c r="U27" s="160">
        <v>1543</v>
      </c>
      <c r="V27" s="160">
        <v>1604</v>
      </c>
      <c r="W27" s="160">
        <v>41</v>
      </c>
      <c r="X27" s="160">
        <v>0</v>
      </c>
      <c r="Y27" s="160">
        <v>43</v>
      </c>
      <c r="Z27" s="188">
        <v>0</v>
      </c>
      <c r="AA27" s="188">
        <v>57</v>
      </c>
      <c r="AB27" s="188">
        <v>0</v>
      </c>
      <c r="AC27" s="165">
        <f t="shared" si="15"/>
        <v>69</v>
      </c>
      <c r="AD27" s="166">
        <f t="shared" si="16"/>
        <v>-36</v>
      </c>
      <c r="AE27" s="160">
        <v>125</v>
      </c>
      <c r="AF27" s="167">
        <f t="shared" si="17"/>
        <v>0.53466666666666662</v>
      </c>
      <c r="AG27" s="168">
        <f t="shared" si="18"/>
        <v>144.20833333333334</v>
      </c>
      <c r="AH27" s="167">
        <f t="shared" si="19"/>
        <v>0.44582490609650388</v>
      </c>
      <c r="AI27" s="169">
        <f t="shared" si="29"/>
        <v>1</v>
      </c>
      <c r="AJ27" s="170">
        <f t="shared" si="20"/>
        <v>0.90003447596532704</v>
      </c>
      <c r="AK27" s="273">
        <v>5.673</v>
      </c>
      <c r="AL27" s="274">
        <v>158.96</v>
      </c>
      <c r="AM27" s="275">
        <f t="shared" si="21"/>
        <v>901.78008</v>
      </c>
      <c r="AN27" s="273">
        <v>12.971</v>
      </c>
      <c r="AO27" s="321">
        <v>1006.066</v>
      </c>
      <c r="AP27" s="172">
        <f t="shared" si="22"/>
        <v>13049.682086000001</v>
      </c>
      <c r="AQ27" s="202">
        <f t="shared" si="23"/>
        <v>9041.777165262476</v>
      </c>
      <c r="AR27" s="199">
        <f>IF(S27&gt;0,(S27/24), "no data")</f>
        <v>131.54166666666666</v>
      </c>
      <c r="AS27" s="13"/>
      <c r="AT27" s="159">
        <v>24</v>
      </c>
      <c r="AU27" s="174">
        <v>31</v>
      </c>
      <c r="AV27" s="159">
        <v>15</v>
      </c>
      <c r="AW27" s="159">
        <v>117</v>
      </c>
      <c r="AX27" s="174">
        <v>22</v>
      </c>
      <c r="AY27" s="159">
        <v>809</v>
      </c>
      <c r="AZ27" s="159">
        <v>8</v>
      </c>
      <c r="BA27" s="332"/>
      <c r="BB27" s="175">
        <v>472</v>
      </c>
      <c r="BC27" s="175">
        <v>633</v>
      </c>
      <c r="BD27" s="175">
        <v>499</v>
      </c>
      <c r="BE27" s="175">
        <f t="shared" si="24"/>
        <v>161</v>
      </c>
      <c r="BF27" s="175">
        <f t="shared" si="25"/>
        <v>9041.777165262476</v>
      </c>
      <c r="BG27" s="177">
        <f t="shared" si="26"/>
        <v>20.791666666666668</v>
      </c>
      <c r="BH27" s="191">
        <v>0</v>
      </c>
      <c r="BI27" s="155">
        <v>0</v>
      </c>
      <c r="BJ27" s="181">
        <v>27</v>
      </c>
      <c r="BK27" s="192">
        <v>12.35</v>
      </c>
      <c r="BL27" s="192">
        <v>12.85</v>
      </c>
      <c r="BM27" s="192">
        <v>16.43</v>
      </c>
      <c r="BN27" s="181">
        <v>983.38</v>
      </c>
      <c r="BO27" s="192">
        <v>50.08</v>
      </c>
      <c r="BP27" s="193">
        <v>0.94089999999999996</v>
      </c>
      <c r="BQ27" s="194">
        <v>96.53</v>
      </c>
      <c r="BR27" s="194">
        <v>87.45</v>
      </c>
      <c r="BS27" s="194">
        <v>11953</v>
      </c>
      <c r="BT27" s="194">
        <v>11395</v>
      </c>
      <c r="BU27" s="51">
        <f t="shared" si="27"/>
        <v>-558</v>
      </c>
      <c r="BV27" s="175">
        <f t="shared" si="28"/>
        <v>0</v>
      </c>
      <c r="BW27" s="177">
        <v>0</v>
      </c>
      <c r="BX27" s="177">
        <v>0</v>
      </c>
      <c r="BZ27" s="177">
        <v>10.45</v>
      </c>
      <c r="CA27" s="177">
        <v>6.6</v>
      </c>
      <c r="CC27" s="177">
        <v>2.1</v>
      </c>
      <c r="CD27" s="177">
        <v>4.5</v>
      </c>
      <c r="CE27" s="177">
        <v>2.1</v>
      </c>
      <c r="CF27" s="177">
        <v>0</v>
      </c>
    </row>
    <row r="28" spans="1:84">
      <c r="A28" s="452"/>
      <c r="B28" s="24">
        <v>43271</v>
      </c>
      <c r="C28" s="157">
        <v>93.29</v>
      </c>
      <c r="D28" s="197">
        <v>0.53920000000000001</v>
      </c>
      <c r="E28" s="171">
        <v>74.16</v>
      </c>
      <c r="F28" s="160">
        <v>107</v>
      </c>
      <c r="G28" s="160">
        <v>82</v>
      </c>
      <c r="H28" s="160">
        <v>24</v>
      </c>
      <c r="I28" s="160">
        <v>0</v>
      </c>
      <c r="J28" s="160">
        <v>24</v>
      </c>
      <c r="K28" s="160">
        <v>0</v>
      </c>
      <c r="L28" s="188">
        <v>0</v>
      </c>
      <c r="M28" s="188">
        <v>0</v>
      </c>
      <c r="N28" s="188">
        <v>0</v>
      </c>
      <c r="O28" s="188">
        <v>0</v>
      </c>
      <c r="P28" s="188">
        <v>0</v>
      </c>
      <c r="Q28" s="262">
        <v>0</v>
      </c>
      <c r="R28" s="257">
        <v>3466</v>
      </c>
      <c r="S28" s="159">
        <v>3010</v>
      </c>
      <c r="T28" s="160">
        <v>3010</v>
      </c>
      <c r="U28" s="160">
        <v>2940</v>
      </c>
      <c r="V28" s="160">
        <v>3042</v>
      </c>
      <c r="W28" s="160">
        <v>42</v>
      </c>
      <c r="X28" s="160">
        <v>0</v>
      </c>
      <c r="Y28" s="160">
        <v>44</v>
      </c>
      <c r="Z28" s="258">
        <v>0</v>
      </c>
      <c r="AA28" s="188">
        <v>57</v>
      </c>
      <c r="AB28" s="188">
        <v>0</v>
      </c>
      <c r="AC28" s="165">
        <f t="shared" si="15"/>
        <v>102</v>
      </c>
      <c r="AD28" s="166">
        <f>U28-T28</f>
        <v>-70</v>
      </c>
      <c r="AE28" s="160">
        <v>129</v>
      </c>
      <c r="AF28" s="167">
        <f t="shared" si="17"/>
        <v>0.98255813953488369</v>
      </c>
      <c r="AG28" s="168">
        <f t="shared" si="18"/>
        <v>144.41666666666666</v>
      </c>
      <c r="AH28" s="167">
        <f t="shared" si="19"/>
        <v>0.84824004616272364</v>
      </c>
      <c r="AI28" s="169">
        <f t="shared" si="29"/>
        <v>1</v>
      </c>
      <c r="AJ28" s="170">
        <f t="shared" si="20"/>
        <v>0.88811188811188813</v>
      </c>
      <c r="AK28" s="273">
        <v>9.1150000000000002</v>
      </c>
      <c r="AL28" s="274">
        <v>151.51</v>
      </c>
      <c r="AM28" s="275">
        <f t="shared" si="21"/>
        <v>1381.0136499999999</v>
      </c>
      <c r="AN28" s="273">
        <v>23.786999999999999</v>
      </c>
      <c r="AO28" s="321">
        <v>1013.87</v>
      </c>
      <c r="AP28" s="172">
        <f t="shared" si="22"/>
        <v>24116.92569</v>
      </c>
      <c r="AQ28" s="202">
        <f t="shared" si="23"/>
        <v>8672.7684829931986</v>
      </c>
      <c r="AR28" s="199">
        <f t="shared" si="30"/>
        <v>125.41666666666667</v>
      </c>
      <c r="AS28" s="13"/>
      <c r="AT28" s="159">
        <v>0</v>
      </c>
      <c r="AU28" s="174">
        <v>0</v>
      </c>
      <c r="AV28" s="174">
        <v>0</v>
      </c>
      <c r="AW28" s="159">
        <v>0</v>
      </c>
      <c r="AX28" s="174">
        <v>16</v>
      </c>
      <c r="AY28" s="159">
        <v>1440</v>
      </c>
      <c r="AZ28" s="159">
        <v>0</v>
      </c>
      <c r="BA28" s="332"/>
      <c r="BB28" s="175">
        <v>997</v>
      </c>
      <c r="BC28" s="175">
        <v>1054</v>
      </c>
      <c r="BD28" s="175">
        <v>991</v>
      </c>
      <c r="BE28" s="175">
        <f t="shared" si="24"/>
        <v>57</v>
      </c>
      <c r="BF28" s="175">
        <f t="shared" si="25"/>
        <v>8672.7684829931986</v>
      </c>
      <c r="BG28" s="177">
        <f t="shared" si="26"/>
        <v>41.291666666666664</v>
      </c>
      <c r="BH28" s="191">
        <v>0</v>
      </c>
      <c r="BI28" s="191">
        <v>0</v>
      </c>
      <c r="BJ28" s="181">
        <v>27</v>
      </c>
      <c r="BK28" s="192">
        <v>25.1</v>
      </c>
      <c r="BL28" s="192">
        <v>20.56</v>
      </c>
      <c r="BM28" s="192">
        <v>26.12</v>
      </c>
      <c r="BN28" s="195">
        <v>984.83</v>
      </c>
      <c r="BO28" s="181">
        <v>50.15</v>
      </c>
      <c r="BP28" s="193">
        <v>0.94230000000000003</v>
      </c>
      <c r="BQ28" s="194">
        <v>96.3</v>
      </c>
      <c r="BR28" s="194">
        <v>87.33</v>
      </c>
      <c r="BS28" s="194">
        <v>11826</v>
      </c>
      <c r="BT28" s="194">
        <v>11289</v>
      </c>
      <c r="BU28" s="51">
        <f t="shared" si="27"/>
        <v>-537</v>
      </c>
      <c r="BV28" s="175">
        <f t="shared" si="28"/>
        <v>0</v>
      </c>
      <c r="BW28" s="177">
        <v>0</v>
      </c>
      <c r="BX28" s="177">
        <v>0</v>
      </c>
      <c r="BZ28" s="177">
        <v>24</v>
      </c>
      <c r="CA28" s="177">
        <v>6.12</v>
      </c>
      <c r="CC28" s="177">
        <v>2.1</v>
      </c>
      <c r="CD28" s="177">
        <v>4.4000000000000004</v>
      </c>
      <c r="CE28" s="177">
        <v>2.1</v>
      </c>
      <c r="CF28" s="177">
        <v>0</v>
      </c>
    </row>
    <row r="29" spans="1:84">
      <c r="A29" s="452"/>
      <c r="B29" s="24">
        <v>43272</v>
      </c>
      <c r="C29" s="157">
        <v>92.03</v>
      </c>
      <c r="D29" s="197">
        <v>0.57299999999999995</v>
      </c>
      <c r="E29" s="171">
        <v>74.8</v>
      </c>
      <c r="F29" s="160">
        <v>105</v>
      </c>
      <c r="G29" s="160">
        <v>79</v>
      </c>
      <c r="H29" s="160">
        <v>24</v>
      </c>
      <c r="I29" s="160">
        <v>0</v>
      </c>
      <c r="J29" s="160">
        <v>24</v>
      </c>
      <c r="K29" s="160">
        <v>0</v>
      </c>
      <c r="L29" s="188">
        <v>0</v>
      </c>
      <c r="M29" s="188">
        <v>0</v>
      </c>
      <c r="N29" s="188">
        <v>0</v>
      </c>
      <c r="O29" s="188">
        <v>0</v>
      </c>
      <c r="P29" s="188">
        <v>0</v>
      </c>
      <c r="Q29" s="262">
        <v>0</v>
      </c>
      <c r="R29" s="259">
        <v>3476</v>
      </c>
      <c r="S29" s="159">
        <v>3012</v>
      </c>
      <c r="T29" s="160">
        <v>3012</v>
      </c>
      <c r="U29" s="160">
        <v>2941</v>
      </c>
      <c r="V29" s="160">
        <v>3043</v>
      </c>
      <c r="W29" s="160">
        <v>42</v>
      </c>
      <c r="X29" s="160">
        <v>0</v>
      </c>
      <c r="Y29" s="160">
        <v>44</v>
      </c>
      <c r="Z29" s="188">
        <v>0</v>
      </c>
      <c r="AA29" s="188">
        <v>57</v>
      </c>
      <c r="AB29" s="188">
        <v>0</v>
      </c>
      <c r="AC29" s="165">
        <f t="shared" si="15"/>
        <v>102</v>
      </c>
      <c r="AD29" s="166">
        <f t="shared" si="16"/>
        <v>-71</v>
      </c>
      <c r="AE29" s="160">
        <v>129</v>
      </c>
      <c r="AF29" s="167">
        <f t="shared" si="17"/>
        <v>0.9828811369509044</v>
      </c>
      <c r="AG29" s="168">
        <f t="shared" si="18"/>
        <v>144.83333333333334</v>
      </c>
      <c r="AH29" s="167">
        <f t="shared" si="19"/>
        <v>0.84608745684695053</v>
      </c>
      <c r="AI29" s="169">
        <f t="shared" si="29"/>
        <v>1</v>
      </c>
      <c r="AJ29" s="170">
        <f>IF(U29&gt;0,(1440-((X29*W29+AT29*AU29)+(Z29*Y29+AV29*AW29)+(AA29*AB29+AX29*AY29))/(W29+Y29+AA29))/1440,"no data")</f>
        <v>0.88811188811188813</v>
      </c>
      <c r="AK29" s="273">
        <v>9.0869999999999997</v>
      </c>
      <c r="AL29" s="274">
        <v>149.84</v>
      </c>
      <c r="AM29" s="275">
        <f t="shared" si="21"/>
        <v>1361.59608</v>
      </c>
      <c r="AN29" s="273">
        <v>24.376999999999999</v>
      </c>
      <c r="AO29" s="321">
        <v>996.59519999999998</v>
      </c>
      <c r="AP29" s="172">
        <f t="shared" si="22"/>
        <v>24294.001190399998</v>
      </c>
      <c r="AQ29" s="202">
        <f t="shared" si="23"/>
        <v>8723.426477524652</v>
      </c>
      <c r="AR29" s="199">
        <f t="shared" si="30"/>
        <v>125.5</v>
      </c>
      <c r="AS29" s="13"/>
      <c r="AT29" s="159">
        <v>0</v>
      </c>
      <c r="AU29" s="174">
        <v>0</v>
      </c>
      <c r="AV29" s="174">
        <v>0</v>
      </c>
      <c r="AW29" s="159">
        <v>0</v>
      </c>
      <c r="AX29" s="174">
        <v>16</v>
      </c>
      <c r="AY29" s="159">
        <v>1440</v>
      </c>
      <c r="AZ29" s="159">
        <v>0</v>
      </c>
      <c r="BA29" s="332"/>
      <c r="BB29" s="175">
        <v>997</v>
      </c>
      <c r="BC29" s="175">
        <v>1054</v>
      </c>
      <c r="BD29" s="175">
        <v>992</v>
      </c>
      <c r="BE29" s="175">
        <f t="shared" si="24"/>
        <v>57</v>
      </c>
      <c r="BF29" s="175">
        <f t="shared" si="25"/>
        <v>8723.426477524652</v>
      </c>
      <c r="BG29" s="177">
        <f t="shared" si="26"/>
        <v>41.333333333333336</v>
      </c>
      <c r="BH29" s="191">
        <v>0</v>
      </c>
      <c r="BI29" s="155">
        <v>0</v>
      </c>
      <c r="BJ29" s="260">
        <v>27</v>
      </c>
      <c r="BK29" s="181">
        <v>25.72</v>
      </c>
      <c r="BL29" s="192">
        <v>21.14</v>
      </c>
      <c r="BM29" s="195">
        <v>25.88</v>
      </c>
      <c r="BN29" s="192">
        <v>984.6</v>
      </c>
      <c r="BO29" s="192">
        <v>50.13</v>
      </c>
      <c r="BP29" s="193">
        <v>0.94130000000000003</v>
      </c>
      <c r="BQ29" s="194">
        <v>96.3</v>
      </c>
      <c r="BR29" s="181">
        <v>87.41</v>
      </c>
      <c r="BS29" s="194">
        <v>12111</v>
      </c>
      <c r="BT29" s="175">
        <v>11515</v>
      </c>
      <c r="BU29" s="51">
        <f t="shared" si="27"/>
        <v>-596</v>
      </c>
      <c r="BV29" s="175">
        <f t="shared" si="28"/>
        <v>0</v>
      </c>
      <c r="BW29" s="177">
        <v>0</v>
      </c>
      <c r="BX29" s="177">
        <v>0</v>
      </c>
      <c r="BZ29" s="177">
        <v>24</v>
      </c>
      <c r="CA29" s="177">
        <v>6.23</v>
      </c>
      <c r="CC29" s="177">
        <v>2.2000000000000002</v>
      </c>
      <c r="CD29" s="177">
        <v>4.3</v>
      </c>
      <c r="CE29" s="177">
        <v>2.1</v>
      </c>
      <c r="CF29" s="177">
        <v>0</v>
      </c>
    </row>
    <row r="30" spans="1:84">
      <c r="A30" s="452"/>
      <c r="B30" s="24">
        <v>43273</v>
      </c>
      <c r="C30" s="157">
        <v>96.5</v>
      </c>
      <c r="D30" s="197">
        <v>0.49199999999999999</v>
      </c>
      <c r="E30" s="171">
        <v>74.8</v>
      </c>
      <c r="F30" s="160">
        <v>107</v>
      </c>
      <c r="G30" s="160">
        <v>86</v>
      </c>
      <c r="H30" s="160">
        <v>22</v>
      </c>
      <c r="I30" s="160">
        <v>7</v>
      </c>
      <c r="J30" s="160">
        <v>24</v>
      </c>
      <c r="K30" s="160">
        <v>0</v>
      </c>
      <c r="L30" s="187">
        <v>1</v>
      </c>
      <c r="M30" s="187">
        <v>27</v>
      </c>
      <c r="N30" s="187">
        <v>0</v>
      </c>
      <c r="O30" s="187">
        <v>0</v>
      </c>
      <c r="P30" s="187">
        <v>0</v>
      </c>
      <c r="Q30" s="262">
        <v>0</v>
      </c>
      <c r="R30" s="257">
        <v>3430</v>
      </c>
      <c r="S30" s="262">
        <v>3019</v>
      </c>
      <c r="T30" s="160">
        <v>2894</v>
      </c>
      <c r="U30" s="160">
        <v>2825</v>
      </c>
      <c r="V30" s="160">
        <v>2927</v>
      </c>
      <c r="W30" s="160">
        <v>41</v>
      </c>
      <c r="X30" s="160">
        <v>0</v>
      </c>
      <c r="Y30" s="160">
        <v>43</v>
      </c>
      <c r="Z30" s="187">
        <v>0</v>
      </c>
      <c r="AA30" s="187">
        <v>57</v>
      </c>
      <c r="AB30" s="187">
        <v>0</v>
      </c>
      <c r="AC30" s="165">
        <f t="shared" si="15"/>
        <v>102</v>
      </c>
      <c r="AD30" s="166">
        <f t="shared" si="16"/>
        <v>-69</v>
      </c>
      <c r="AE30" s="160">
        <v>128</v>
      </c>
      <c r="AF30" s="167">
        <f t="shared" si="17"/>
        <v>0.95279947916666663</v>
      </c>
      <c r="AG30" s="168">
        <f t="shared" si="18"/>
        <v>142.91666666666666</v>
      </c>
      <c r="AH30" s="167">
        <f t="shared" si="19"/>
        <v>0.82361516034985427</v>
      </c>
      <c r="AI30" s="169">
        <f t="shared" si="29"/>
        <v>1</v>
      </c>
      <c r="AJ30" s="170">
        <f t="shared" si="20"/>
        <v>0.87067572892040979</v>
      </c>
      <c r="AK30" s="273">
        <v>9.0719999999999992</v>
      </c>
      <c r="AL30" s="274">
        <v>156.69</v>
      </c>
      <c r="AM30" s="275">
        <f t="shared" si="21"/>
        <v>1421.4916799999999</v>
      </c>
      <c r="AN30" s="273">
        <v>23.452999999999999</v>
      </c>
      <c r="AO30" s="321">
        <v>988.76700000000005</v>
      </c>
      <c r="AP30" s="172">
        <f t="shared" si="22"/>
        <v>23189.552451</v>
      </c>
      <c r="AQ30" s="202">
        <f t="shared" si="23"/>
        <v>8711.8740286725661</v>
      </c>
      <c r="AR30" s="199">
        <f t="shared" si="30"/>
        <v>125.79166666666667</v>
      </c>
      <c r="AS30" s="13"/>
      <c r="AT30" s="159">
        <v>13</v>
      </c>
      <c r="AU30" s="174">
        <v>26</v>
      </c>
      <c r="AV30" s="174">
        <v>0</v>
      </c>
      <c r="AW30" s="159">
        <v>0</v>
      </c>
      <c r="AX30" s="174">
        <v>18</v>
      </c>
      <c r="AY30" s="159">
        <v>1440</v>
      </c>
      <c r="AZ30" s="159">
        <v>0</v>
      </c>
      <c r="BA30" s="332"/>
      <c r="BB30" s="175">
        <v>927</v>
      </c>
      <c r="BC30" s="175">
        <v>1047</v>
      </c>
      <c r="BD30" s="175">
        <v>953</v>
      </c>
      <c r="BE30" s="175">
        <f t="shared" si="24"/>
        <v>120</v>
      </c>
      <c r="BF30" s="175">
        <f t="shared" si="25"/>
        <v>8711.8740286725661</v>
      </c>
      <c r="BG30" s="177">
        <f t="shared" si="26"/>
        <v>39.708333333333336</v>
      </c>
      <c r="BH30" s="191">
        <v>0</v>
      </c>
      <c r="BI30" s="155">
        <v>0</v>
      </c>
      <c r="BJ30" s="181">
        <v>27</v>
      </c>
      <c r="BK30" s="192">
        <v>23.99</v>
      </c>
      <c r="BL30" s="192">
        <v>20.91</v>
      </c>
      <c r="BM30" s="192">
        <v>26.28</v>
      </c>
      <c r="BN30" s="192">
        <v>983.4</v>
      </c>
      <c r="BO30" s="181">
        <v>50.19</v>
      </c>
      <c r="BP30" s="193">
        <v>0.94199999999999995</v>
      </c>
      <c r="BQ30" s="194">
        <v>96.34</v>
      </c>
      <c r="BR30" s="181">
        <v>87.41</v>
      </c>
      <c r="BS30" s="194">
        <v>12124</v>
      </c>
      <c r="BT30" s="175">
        <v>11531</v>
      </c>
      <c r="BU30" s="51">
        <f t="shared" si="27"/>
        <v>-593</v>
      </c>
      <c r="BV30" s="175">
        <f t="shared" si="28"/>
        <v>0</v>
      </c>
      <c r="BW30" s="177">
        <v>0</v>
      </c>
      <c r="BX30" s="177">
        <v>0</v>
      </c>
      <c r="BZ30" s="177">
        <v>22.12</v>
      </c>
      <c r="CA30" s="177">
        <v>6.62</v>
      </c>
      <c r="CC30" s="177">
        <v>2.1</v>
      </c>
      <c r="CD30" s="177">
        <v>4.3</v>
      </c>
      <c r="CE30" s="177">
        <v>2.1</v>
      </c>
      <c r="CF30" s="177">
        <v>0</v>
      </c>
    </row>
    <row r="31" spans="1:84">
      <c r="A31" s="452"/>
      <c r="B31" s="24">
        <v>43274</v>
      </c>
      <c r="C31" s="157">
        <v>94</v>
      </c>
      <c r="D31" s="197">
        <v>0.5</v>
      </c>
      <c r="E31" s="171">
        <v>73</v>
      </c>
      <c r="F31" s="159">
        <v>104</v>
      </c>
      <c r="G31" s="159">
        <v>82</v>
      </c>
      <c r="H31" s="160">
        <v>14</v>
      </c>
      <c r="I31" s="160">
        <v>12</v>
      </c>
      <c r="J31" s="160">
        <v>24</v>
      </c>
      <c r="K31" s="160">
        <v>0</v>
      </c>
      <c r="L31" s="187">
        <v>9</v>
      </c>
      <c r="M31" s="187">
        <v>10</v>
      </c>
      <c r="N31" s="187">
        <v>0</v>
      </c>
      <c r="O31" s="187">
        <v>0</v>
      </c>
      <c r="P31" s="187">
        <v>0</v>
      </c>
      <c r="Q31" s="262">
        <v>0</v>
      </c>
      <c r="R31" s="259">
        <v>3458</v>
      </c>
      <c r="S31" s="262">
        <v>3190</v>
      </c>
      <c r="T31" s="159">
        <v>2379</v>
      </c>
      <c r="U31" s="159">
        <v>2338</v>
      </c>
      <c r="V31" s="160">
        <v>2430</v>
      </c>
      <c r="W31" s="160">
        <v>41</v>
      </c>
      <c r="X31" s="160">
        <v>0</v>
      </c>
      <c r="Y31" s="160">
        <v>44</v>
      </c>
      <c r="Z31" s="187">
        <v>0</v>
      </c>
      <c r="AA31" s="187">
        <v>57</v>
      </c>
      <c r="AB31" s="187">
        <v>0</v>
      </c>
      <c r="AC31" s="165">
        <f t="shared" si="15"/>
        <v>92</v>
      </c>
      <c r="AD31" s="166">
        <f t="shared" si="16"/>
        <v>-41</v>
      </c>
      <c r="AE31" s="160">
        <v>127</v>
      </c>
      <c r="AF31" s="167">
        <f t="shared" si="17"/>
        <v>0.797244094488189</v>
      </c>
      <c r="AG31" s="168">
        <f t="shared" si="18"/>
        <v>144.08333333333334</v>
      </c>
      <c r="AH31" s="167">
        <f t="shared" si="19"/>
        <v>0.67611336032388669</v>
      </c>
      <c r="AI31" s="169">
        <f t="shared" si="29"/>
        <v>1</v>
      </c>
      <c r="AJ31" s="170">
        <f t="shared" si="20"/>
        <v>0.86248043818466347</v>
      </c>
      <c r="AK31" s="273">
        <v>9.08</v>
      </c>
      <c r="AL31" s="274">
        <v>155.77000000000001</v>
      </c>
      <c r="AM31" s="275">
        <f t="shared" si="21"/>
        <v>1414.3916000000002</v>
      </c>
      <c r="AN31" s="273">
        <v>19.350999999999999</v>
      </c>
      <c r="AO31" s="321">
        <v>992.93</v>
      </c>
      <c r="AP31" s="172">
        <f t="shared" si="22"/>
        <v>19214.188429999998</v>
      </c>
      <c r="AQ31" s="202">
        <f t="shared" si="23"/>
        <v>8823.1736655260884</v>
      </c>
      <c r="AR31" s="199">
        <f t="shared" si="30"/>
        <v>132.91666666666666</v>
      </c>
      <c r="AS31" s="13"/>
      <c r="AT31" s="159">
        <v>20</v>
      </c>
      <c r="AU31" s="174">
        <v>38</v>
      </c>
      <c r="AV31" s="159">
        <v>0</v>
      </c>
      <c r="AW31" s="159">
        <v>0</v>
      </c>
      <c r="AX31" s="174">
        <v>19</v>
      </c>
      <c r="AY31" s="159">
        <v>1440</v>
      </c>
      <c r="AZ31" s="159">
        <v>0</v>
      </c>
      <c r="BA31" s="332"/>
      <c r="BB31" s="175">
        <v>598</v>
      </c>
      <c r="BC31" s="175">
        <v>1055</v>
      </c>
      <c r="BD31" s="175">
        <v>777</v>
      </c>
      <c r="BE31" s="175">
        <f t="shared" si="24"/>
        <v>457</v>
      </c>
      <c r="BF31" s="175">
        <f t="shared" si="25"/>
        <v>8823.1736655260884</v>
      </c>
      <c r="BG31" s="177">
        <f t="shared" si="26"/>
        <v>32.375</v>
      </c>
      <c r="BH31" s="191">
        <v>0</v>
      </c>
      <c r="BI31" s="155">
        <v>0</v>
      </c>
      <c r="BJ31" s="181">
        <v>27</v>
      </c>
      <c r="BK31" s="192">
        <v>15.7</v>
      </c>
      <c r="BL31" s="192">
        <v>21.07</v>
      </c>
      <c r="BM31" s="192">
        <v>26.18</v>
      </c>
      <c r="BN31" s="192">
        <v>984.4</v>
      </c>
      <c r="BO31" s="192">
        <v>50.14</v>
      </c>
      <c r="BP31" s="193">
        <v>0.94120000000000004</v>
      </c>
      <c r="BQ31" s="192">
        <v>96.2</v>
      </c>
      <c r="BR31" s="181">
        <v>87.28</v>
      </c>
      <c r="BS31" s="175">
        <v>12123</v>
      </c>
      <c r="BT31" s="175">
        <v>11486</v>
      </c>
      <c r="BU31" s="51">
        <f t="shared" si="27"/>
        <v>-637</v>
      </c>
      <c r="BV31" s="175">
        <f t="shared" si="28"/>
        <v>0</v>
      </c>
      <c r="BW31" s="177">
        <v>0</v>
      </c>
      <c r="BX31" s="177">
        <v>0</v>
      </c>
      <c r="BZ31" s="177">
        <v>13.4</v>
      </c>
      <c r="CA31" s="177">
        <v>6.7</v>
      </c>
      <c r="CC31" s="177">
        <v>2.1</v>
      </c>
      <c r="CD31" s="177">
        <v>4.3</v>
      </c>
      <c r="CE31" s="177">
        <v>2.1</v>
      </c>
      <c r="CF31" s="177">
        <v>0</v>
      </c>
    </row>
    <row r="32" spans="1:84">
      <c r="A32" s="453"/>
      <c r="B32" s="24">
        <v>43275</v>
      </c>
      <c r="C32" s="157">
        <v>95.5</v>
      </c>
      <c r="D32" s="197">
        <v>0.51600000000000001</v>
      </c>
      <c r="E32" s="171">
        <v>74.7</v>
      </c>
      <c r="F32" s="159">
        <v>108</v>
      </c>
      <c r="G32" s="159">
        <v>86</v>
      </c>
      <c r="H32" s="160">
        <v>24</v>
      </c>
      <c r="I32" s="160">
        <v>0</v>
      </c>
      <c r="J32" s="160">
        <v>24</v>
      </c>
      <c r="K32" s="160">
        <v>0</v>
      </c>
      <c r="L32" s="187">
        <v>0</v>
      </c>
      <c r="M32" s="187">
        <v>0</v>
      </c>
      <c r="N32" s="187">
        <v>0</v>
      </c>
      <c r="O32" s="187">
        <v>0</v>
      </c>
      <c r="P32" s="187">
        <v>0</v>
      </c>
      <c r="Q32" s="262">
        <v>0</v>
      </c>
      <c r="R32" s="257">
        <v>3441</v>
      </c>
      <c r="S32" s="262">
        <v>3000</v>
      </c>
      <c r="T32" s="262">
        <v>3000</v>
      </c>
      <c r="U32" s="262">
        <v>2925</v>
      </c>
      <c r="V32" s="263">
        <v>3026</v>
      </c>
      <c r="W32" s="160">
        <v>41</v>
      </c>
      <c r="X32" s="160">
        <v>0</v>
      </c>
      <c r="Y32" s="160">
        <v>43</v>
      </c>
      <c r="Z32" s="187">
        <v>0</v>
      </c>
      <c r="AA32" s="187">
        <v>57</v>
      </c>
      <c r="AB32" s="187">
        <v>0</v>
      </c>
      <c r="AC32" s="165">
        <f t="shared" si="15"/>
        <v>101</v>
      </c>
      <c r="AD32" s="166">
        <f t="shared" si="16"/>
        <v>-75</v>
      </c>
      <c r="AE32" s="159">
        <v>129</v>
      </c>
      <c r="AF32" s="167">
        <f t="shared" si="17"/>
        <v>0.97739018087855301</v>
      </c>
      <c r="AG32" s="168">
        <f t="shared" si="18"/>
        <v>143.375</v>
      </c>
      <c r="AH32" s="167">
        <f t="shared" si="19"/>
        <v>0.85004359197907586</v>
      </c>
      <c r="AI32" s="169">
        <f t="shared" si="29"/>
        <v>1</v>
      </c>
      <c r="AJ32" s="170">
        <f t="shared" si="20"/>
        <v>0.88652482269503552</v>
      </c>
      <c r="AK32" s="273">
        <v>9.0820000000000007</v>
      </c>
      <c r="AL32" s="274">
        <v>157.5</v>
      </c>
      <c r="AM32" s="275">
        <f t="shared" si="21"/>
        <v>1430.4150000000002</v>
      </c>
      <c r="AN32" s="273">
        <v>24.152000000000001</v>
      </c>
      <c r="AO32" s="321">
        <v>993.33</v>
      </c>
      <c r="AP32" s="172">
        <f t="shared" si="22"/>
        <v>23990.906160000002</v>
      </c>
      <c r="AQ32" s="202">
        <f t="shared" si="23"/>
        <v>8691.0499692307694</v>
      </c>
      <c r="AR32" s="199">
        <f t="shared" si="30"/>
        <v>125</v>
      </c>
      <c r="AS32" s="13"/>
      <c r="AT32" s="159">
        <v>0</v>
      </c>
      <c r="AU32" s="174">
        <v>0</v>
      </c>
      <c r="AV32" s="174">
        <v>0</v>
      </c>
      <c r="AW32" s="159">
        <v>0</v>
      </c>
      <c r="AX32" s="174">
        <v>16</v>
      </c>
      <c r="AY32" s="159">
        <v>1440</v>
      </c>
      <c r="AZ32" s="159">
        <v>0</v>
      </c>
      <c r="BA32" s="332"/>
      <c r="BB32" s="175">
        <v>992</v>
      </c>
      <c r="BC32" s="175">
        <v>1046</v>
      </c>
      <c r="BD32" s="175">
        <v>988</v>
      </c>
      <c r="BE32" s="175">
        <f t="shared" si="24"/>
        <v>54</v>
      </c>
      <c r="BF32" s="175">
        <f t="shared" si="25"/>
        <v>8691.0499692307694</v>
      </c>
      <c r="BG32" s="177">
        <f t="shared" si="26"/>
        <v>41.166666666666664</v>
      </c>
      <c r="BH32" s="191">
        <v>0</v>
      </c>
      <c r="BI32" s="155">
        <v>0</v>
      </c>
      <c r="BJ32" s="181">
        <v>27</v>
      </c>
      <c r="BK32" s="192">
        <v>25.6</v>
      </c>
      <c r="BL32" s="192">
        <v>20.95</v>
      </c>
      <c r="BM32" s="192">
        <v>26.42</v>
      </c>
      <c r="BN32" s="179">
        <v>982.2</v>
      </c>
      <c r="BO32" s="192">
        <v>50.14</v>
      </c>
      <c r="BP32" s="193">
        <v>0.9425</v>
      </c>
      <c r="BQ32" s="192">
        <v>96.45</v>
      </c>
      <c r="BR32" s="181">
        <v>87.37</v>
      </c>
      <c r="BS32" s="175">
        <v>12126</v>
      </c>
      <c r="BT32" s="175">
        <v>11552</v>
      </c>
      <c r="BU32" s="51">
        <f t="shared" si="27"/>
        <v>-574</v>
      </c>
      <c r="BV32" s="175">
        <f t="shared" si="28"/>
        <v>0</v>
      </c>
      <c r="BW32" s="177">
        <v>0</v>
      </c>
      <c r="BX32" s="177">
        <v>0</v>
      </c>
      <c r="BZ32" s="177">
        <v>24</v>
      </c>
      <c r="CA32" s="177">
        <v>6.4</v>
      </c>
      <c r="CC32" s="177">
        <v>2.1</v>
      </c>
      <c r="CD32" s="177">
        <v>4.2</v>
      </c>
      <c r="CE32" s="177">
        <v>2.2000000000000002</v>
      </c>
      <c r="CF32" s="177">
        <v>0</v>
      </c>
    </row>
    <row r="33" spans="1:84">
      <c r="A33" s="451" t="s">
        <v>221</v>
      </c>
      <c r="B33" s="24">
        <v>43276</v>
      </c>
      <c r="C33" s="280">
        <v>95.6</v>
      </c>
      <c r="D33" s="281">
        <v>0.51500000000000001</v>
      </c>
      <c r="E33" s="282">
        <v>74.8</v>
      </c>
      <c r="F33" s="223">
        <v>106</v>
      </c>
      <c r="G33" s="223">
        <v>84</v>
      </c>
      <c r="H33" s="283">
        <v>24</v>
      </c>
      <c r="I33" s="283">
        <v>0</v>
      </c>
      <c r="J33" s="283">
        <v>24</v>
      </c>
      <c r="K33" s="283">
        <v>0</v>
      </c>
      <c r="L33" s="284">
        <v>0</v>
      </c>
      <c r="M33" s="284">
        <v>0</v>
      </c>
      <c r="N33" s="284">
        <v>0</v>
      </c>
      <c r="O33" s="284">
        <v>0</v>
      </c>
      <c r="P33" s="284">
        <v>12</v>
      </c>
      <c r="Q33" s="286">
        <v>0</v>
      </c>
      <c r="R33" s="285">
        <v>3435</v>
      </c>
      <c r="S33" s="286">
        <v>3168</v>
      </c>
      <c r="T33" s="286">
        <v>3168</v>
      </c>
      <c r="U33" s="286">
        <v>3100</v>
      </c>
      <c r="V33" s="287">
        <v>3209</v>
      </c>
      <c r="W33" s="283">
        <v>41</v>
      </c>
      <c r="X33" s="283">
        <v>0</v>
      </c>
      <c r="Y33" s="283">
        <v>44</v>
      </c>
      <c r="Z33" s="288">
        <v>0</v>
      </c>
      <c r="AA33" s="288">
        <v>57</v>
      </c>
      <c r="AB33" s="284">
        <v>0</v>
      </c>
      <c r="AC33" s="221">
        <f t="shared" si="15"/>
        <v>109</v>
      </c>
      <c r="AD33" s="222">
        <f t="shared" si="16"/>
        <v>-68</v>
      </c>
      <c r="AE33" s="223">
        <v>142</v>
      </c>
      <c r="AF33" s="224">
        <f t="shared" si="17"/>
        <v>0.94160798122065725</v>
      </c>
      <c r="AG33" s="225">
        <f t="shared" si="18"/>
        <v>143.125</v>
      </c>
      <c r="AH33" s="224">
        <f t="shared" si="19"/>
        <v>0.90247452692867536</v>
      </c>
      <c r="AI33" s="226">
        <f t="shared" si="29"/>
        <v>1</v>
      </c>
      <c r="AJ33" s="227">
        <f t="shared" si="20"/>
        <v>0.94366197183098599</v>
      </c>
      <c r="AK33" s="271">
        <v>9.0540000000000003</v>
      </c>
      <c r="AL33" s="272">
        <v>155.85</v>
      </c>
      <c r="AM33" s="282">
        <f t="shared" si="21"/>
        <v>1411.0659000000001</v>
      </c>
      <c r="AN33" s="271">
        <v>26.288</v>
      </c>
      <c r="AO33" s="320">
        <v>989.37</v>
      </c>
      <c r="AP33" s="290">
        <f t="shared" si="22"/>
        <v>26008.558560000001</v>
      </c>
      <c r="AQ33" s="228">
        <f t="shared" si="23"/>
        <v>8845.0401483870974</v>
      </c>
      <c r="AR33" s="229">
        <f t="shared" si="30"/>
        <v>132</v>
      </c>
      <c r="AS33" s="291"/>
      <c r="AT33" s="223">
        <v>0</v>
      </c>
      <c r="AU33" s="292">
        <v>0</v>
      </c>
      <c r="AV33" s="292">
        <v>0</v>
      </c>
      <c r="AW33" s="223">
        <v>0</v>
      </c>
      <c r="AX33" s="292">
        <v>16</v>
      </c>
      <c r="AY33" s="223">
        <v>720</v>
      </c>
      <c r="AZ33" s="223">
        <v>0</v>
      </c>
      <c r="BA33" s="293"/>
      <c r="BB33" s="242">
        <v>994</v>
      </c>
      <c r="BC33" s="242">
        <v>1052</v>
      </c>
      <c r="BD33" s="242">
        <v>1163</v>
      </c>
      <c r="BE33" s="242">
        <f t="shared" si="24"/>
        <v>58</v>
      </c>
      <c r="BF33" s="242">
        <f t="shared" si="25"/>
        <v>8845.0401483870974</v>
      </c>
      <c r="BG33" s="294">
        <f t="shared" si="26"/>
        <v>48.458333333333336</v>
      </c>
      <c r="BH33" s="295">
        <v>0.95599999999999996</v>
      </c>
      <c r="BI33" s="296">
        <v>0.96</v>
      </c>
      <c r="BJ33" s="297">
        <v>27</v>
      </c>
      <c r="BK33" s="298">
        <v>25.86</v>
      </c>
      <c r="BL33" s="298">
        <v>21.22</v>
      </c>
      <c r="BM33" s="298">
        <v>26.34</v>
      </c>
      <c r="BN33" s="299">
        <v>979.8</v>
      </c>
      <c r="BO33" s="298">
        <v>50.15</v>
      </c>
      <c r="BP33" s="300">
        <v>0.94269999999999998</v>
      </c>
      <c r="BQ33" s="298">
        <v>96.43</v>
      </c>
      <c r="BR33" s="297">
        <v>87.42</v>
      </c>
      <c r="BS33" s="242">
        <v>12227</v>
      </c>
      <c r="BT33" s="242">
        <v>11627</v>
      </c>
      <c r="BU33" s="301">
        <f t="shared" si="27"/>
        <v>-600</v>
      </c>
      <c r="BV33" s="242">
        <f t="shared" si="28"/>
        <v>1.9159999999999999</v>
      </c>
      <c r="BW33" s="302">
        <v>12</v>
      </c>
      <c r="BX33" s="302">
        <v>12</v>
      </c>
      <c r="BZ33" s="302">
        <v>24</v>
      </c>
      <c r="CA33" s="302">
        <v>6.9</v>
      </c>
      <c r="CC33" s="302">
        <v>2.1</v>
      </c>
      <c r="CD33" s="302">
        <v>4.2</v>
      </c>
      <c r="CE33" s="302">
        <v>2.1</v>
      </c>
      <c r="CF33" s="302">
        <v>0</v>
      </c>
    </row>
    <row r="34" spans="1:84">
      <c r="A34" s="452"/>
      <c r="B34" s="24">
        <v>43277</v>
      </c>
      <c r="C34" s="280">
        <v>97.9</v>
      </c>
      <c r="D34" s="281">
        <v>0.46800000000000003</v>
      </c>
      <c r="E34" s="282">
        <v>74.3</v>
      </c>
      <c r="F34" s="223">
        <v>108</v>
      </c>
      <c r="G34" s="223">
        <v>86</v>
      </c>
      <c r="H34" s="283">
        <v>24</v>
      </c>
      <c r="I34" s="283">
        <v>0</v>
      </c>
      <c r="J34" s="283">
        <v>24</v>
      </c>
      <c r="K34" s="283">
        <v>0</v>
      </c>
      <c r="L34" s="284">
        <v>0</v>
      </c>
      <c r="M34" s="284">
        <v>0</v>
      </c>
      <c r="N34" s="284">
        <v>0</v>
      </c>
      <c r="O34" s="284">
        <v>0</v>
      </c>
      <c r="P34" s="284">
        <v>12</v>
      </c>
      <c r="Q34" s="286">
        <v>0</v>
      </c>
      <c r="R34" s="285">
        <v>3417</v>
      </c>
      <c r="S34" s="286">
        <v>3158</v>
      </c>
      <c r="T34" s="286">
        <v>3158</v>
      </c>
      <c r="U34" s="286">
        <v>3090</v>
      </c>
      <c r="V34" s="287">
        <v>3200</v>
      </c>
      <c r="W34" s="283">
        <v>41</v>
      </c>
      <c r="X34" s="283">
        <v>0</v>
      </c>
      <c r="Y34" s="283">
        <v>44</v>
      </c>
      <c r="Z34" s="288">
        <v>0</v>
      </c>
      <c r="AA34" s="288">
        <v>57</v>
      </c>
      <c r="AB34" s="284">
        <v>0</v>
      </c>
      <c r="AC34" s="221">
        <f t="shared" si="15"/>
        <v>110</v>
      </c>
      <c r="AD34" s="222">
        <f t="shared" si="16"/>
        <v>-68</v>
      </c>
      <c r="AE34" s="223">
        <v>142</v>
      </c>
      <c r="AF34" s="224">
        <f t="shared" si="17"/>
        <v>0.93896713615023475</v>
      </c>
      <c r="AG34" s="225">
        <f t="shared" si="18"/>
        <v>142.375</v>
      </c>
      <c r="AH34" s="224">
        <f t="shared" si="19"/>
        <v>0.90430201931518872</v>
      </c>
      <c r="AI34" s="226">
        <f t="shared" si="29"/>
        <v>1</v>
      </c>
      <c r="AJ34" s="227">
        <f t="shared" si="20"/>
        <v>0.94366197183098599</v>
      </c>
      <c r="AK34" s="271">
        <v>9.0640000000000001</v>
      </c>
      <c r="AL34" s="272">
        <v>154</v>
      </c>
      <c r="AM34" s="282">
        <f t="shared" si="21"/>
        <v>1395.856</v>
      </c>
      <c r="AN34" s="271">
        <v>26.193000000000001</v>
      </c>
      <c r="AO34" s="320">
        <v>988.25300000000004</v>
      </c>
      <c r="AP34" s="290">
        <f t="shared" si="22"/>
        <v>25885.310829000002</v>
      </c>
      <c r="AQ34" s="228">
        <f t="shared" si="23"/>
        <v>8828.8565789644017</v>
      </c>
      <c r="AR34" s="229">
        <f t="shared" si="30"/>
        <v>131.58333333333334</v>
      </c>
      <c r="AS34" s="291"/>
      <c r="AT34" s="223">
        <v>0</v>
      </c>
      <c r="AU34" s="292">
        <v>0</v>
      </c>
      <c r="AV34" s="292">
        <v>0</v>
      </c>
      <c r="AW34" s="223">
        <v>0</v>
      </c>
      <c r="AX34" s="292">
        <v>16</v>
      </c>
      <c r="AY34" s="223">
        <v>720</v>
      </c>
      <c r="AZ34" s="223">
        <v>0</v>
      </c>
      <c r="BA34" s="293"/>
      <c r="BB34" s="242">
        <v>991</v>
      </c>
      <c r="BC34" s="242">
        <v>1049</v>
      </c>
      <c r="BD34" s="242">
        <v>1160</v>
      </c>
      <c r="BE34" s="242">
        <f t="shared" si="24"/>
        <v>58</v>
      </c>
      <c r="BF34" s="242">
        <f t="shared" si="25"/>
        <v>8828.8565789644017</v>
      </c>
      <c r="BG34" s="294">
        <f t="shared" si="26"/>
        <v>48.333333333333336</v>
      </c>
      <c r="BH34" s="295">
        <v>0.998</v>
      </c>
      <c r="BI34" s="296">
        <v>0.95399999999999996</v>
      </c>
      <c r="BJ34" s="297">
        <v>27</v>
      </c>
      <c r="BK34" s="298">
        <v>25.73</v>
      </c>
      <c r="BL34" s="298">
        <v>21.14</v>
      </c>
      <c r="BM34" s="298">
        <v>26.19</v>
      </c>
      <c r="BN34" s="299">
        <v>979.5</v>
      </c>
      <c r="BO34" s="298">
        <v>50.11</v>
      </c>
      <c r="BP34" s="300">
        <v>0.94230000000000003</v>
      </c>
      <c r="BQ34" s="298">
        <v>96.32</v>
      </c>
      <c r="BR34" s="297">
        <v>87.43</v>
      </c>
      <c r="BS34" s="242">
        <v>12182</v>
      </c>
      <c r="BT34" s="242">
        <v>11601</v>
      </c>
      <c r="BU34" s="301">
        <f t="shared" si="27"/>
        <v>-581</v>
      </c>
      <c r="BV34" s="242">
        <f t="shared" si="28"/>
        <v>1.952</v>
      </c>
      <c r="BW34" s="302">
        <v>12</v>
      </c>
      <c r="BX34" s="302">
        <v>12</v>
      </c>
      <c r="BZ34" s="302">
        <v>24</v>
      </c>
      <c r="CA34" s="302">
        <v>6.57</v>
      </c>
      <c r="CC34" s="302">
        <v>2.1</v>
      </c>
      <c r="CD34" s="302">
        <v>4.4000000000000004</v>
      </c>
      <c r="CE34" s="302">
        <v>2.1</v>
      </c>
      <c r="CF34" s="302">
        <v>0</v>
      </c>
    </row>
    <row r="35" spans="1:84">
      <c r="A35" s="452"/>
      <c r="B35" s="24">
        <v>43278</v>
      </c>
      <c r="C35" s="280">
        <v>89.4</v>
      </c>
      <c r="D35" s="281">
        <v>0.60899999999999999</v>
      </c>
      <c r="E35" s="282">
        <v>74.599999999999994</v>
      </c>
      <c r="F35" s="223">
        <v>97</v>
      </c>
      <c r="G35" s="223">
        <v>82</v>
      </c>
      <c r="H35" s="283">
        <v>24</v>
      </c>
      <c r="I35" s="283">
        <v>0</v>
      </c>
      <c r="J35" s="283">
        <v>24</v>
      </c>
      <c r="K35" s="283">
        <v>0</v>
      </c>
      <c r="L35" s="284">
        <v>0</v>
      </c>
      <c r="M35" s="284">
        <v>0</v>
      </c>
      <c r="N35" s="284">
        <v>0</v>
      </c>
      <c r="O35" s="284">
        <v>0</v>
      </c>
      <c r="P35" s="284">
        <v>12</v>
      </c>
      <c r="Q35" s="286">
        <v>0</v>
      </c>
      <c r="R35" s="285">
        <v>3502</v>
      </c>
      <c r="S35" s="286">
        <v>3178</v>
      </c>
      <c r="T35" s="286">
        <v>3178</v>
      </c>
      <c r="U35" s="286">
        <v>3113</v>
      </c>
      <c r="V35" s="287">
        <v>3217</v>
      </c>
      <c r="W35" s="283">
        <v>41</v>
      </c>
      <c r="X35" s="283">
        <v>0</v>
      </c>
      <c r="Y35" s="283">
        <v>44</v>
      </c>
      <c r="Z35" s="288">
        <v>0</v>
      </c>
      <c r="AA35" s="288">
        <v>57</v>
      </c>
      <c r="AB35" s="284">
        <v>0</v>
      </c>
      <c r="AC35" s="221">
        <f t="shared" si="15"/>
        <v>104</v>
      </c>
      <c r="AD35" s="222">
        <f t="shared" si="16"/>
        <v>-65</v>
      </c>
      <c r="AE35" s="223">
        <v>142</v>
      </c>
      <c r="AF35" s="224">
        <f t="shared" si="17"/>
        <v>0.94395539906103287</v>
      </c>
      <c r="AG35" s="225">
        <f t="shared" si="18"/>
        <v>145.91666666666666</v>
      </c>
      <c r="AH35" s="224">
        <f t="shared" si="19"/>
        <v>0.88892061679040546</v>
      </c>
      <c r="AI35" s="226">
        <f t="shared" si="29"/>
        <v>1</v>
      </c>
      <c r="AJ35" s="227">
        <f t="shared" si="20"/>
        <v>0.94366197183098599</v>
      </c>
      <c r="AK35" s="271">
        <v>9.0730000000000004</v>
      </c>
      <c r="AL35" s="272">
        <v>149.46</v>
      </c>
      <c r="AM35" s="282">
        <f t="shared" si="21"/>
        <v>1356.0505800000001</v>
      </c>
      <c r="AN35" s="271">
        <v>26.358000000000001</v>
      </c>
      <c r="AO35" s="320">
        <v>990.38</v>
      </c>
      <c r="AP35" s="290">
        <f t="shared" si="22"/>
        <v>26104.436040000001</v>
      </c>
      <c r="AQ35" s="228">
        <f t="shared" si="23"/>
        <v>8821.2292386765184</v>
      </c>
      <c r="AR35" s="229">
        <f t="shared" si="30"/>
        <v>132.41666666666666</v>
      </c>
      <c r="AS35" s="291"/>
      <c r="AT35" s="223">
        <v>0</v>
      </c>
      <c r="AU35" s="292">
        <v>0</v>
      </c>
      <c r="AV35" s="292">
        <v>0</v>
      </c>
      <c r="AW35" s="223">
        <v>0</v>
      </c>
      <c r="AX35" s="292">
        <v>16</v>
      </c>
      <c r="AY35" s="223">
        <v>720</v>
      </c>
      <c r="AZ35" s="223">
        <v>0</v>
      </c>
      <c r="BA35" s="293"/>
      <c r="BB35" s="242">
        <v>999</v>
      </c>
      <c r="BC35" s="242">
        <v>1051</v>
      </c>
      <c r="BD35" s="242">
        <v>1167</v>
      </c>
      <c r="BE35" s="242">
        <f t="shared" si="24"/>
        <v>52</v>
      </c>
      <c r="BF35" s="242">
        <f t="shared" si="25"/>
        <v>8821.2292386765184</v>
      </c>
      <c r="BG35" s="294">
        <f t="shared" si="26"/>
        <v>48.625</v>
      </c>
      <c r="BH35" s="295">
        <v>1.0129999999999999</v>
      </c>
      <c r="BI35" s="296">
        <v>0.998</v>
      </c>
      <c r="BJ35" s="297">
        <v>27</v>
      </c>
      <c r="BK35" s="298">
        <v>25.88</v>
      </c>
      <c r="BL35" s="298">
        <v>21.24</v>
      </c>
      <c r="BM35" s="298">
        <v>26.52</v>
      </c>
      <c r="BN35" s="299">
        <v>982.79</v>
      </c>
      <c r="BO35" s="298">
        <v>50.08</v>
      </c>
      <c r="BP35" s="300">
        <v>0.94099999999999995</v>
      </c>
      <c r="BQ35" s="298">
        <v>96.69</v>
      </c>
      <c r="BR35" s="297">
        <v>87.51</v>
      </c>
      <c r="BS35" s="242">
        <v>12177</v>
      </c>
      <c r="BT35" s="242">
        <v>11624</v>
      </c>
      <c r="BU35" s="301">
        <f t="shared" si="27"/>
        <v>-553</v>
      </c>
      <c r="BV35" s="242">
        <f t="shared" si="28"/>
        <v>2.0110000000000001</v>
      </c>
      <c r="BW35" s="302">
        <v>12</v>
      </c>
      <c r="BX35" s="302">
        <v>12</v>
      </c>
      <c r="BZ35" s="302">
        <v>24</v>
      </c>
      <c r="CA35" s="302">
        <v>6.82</v>
      </c>
      <c r="CC35" s="302">
        <v>2.1</v>
      </c>
      <c r="CD35" s="302">
        <v>4.2</v>
      </c>
      <c r="CE35" s="302">
        <v>2.2000000000000002</v>
      </c>
      <c r="CF35" s="302">
        <v>0</v>
      </c>
    </row>
    <row r="36" spans="1:84">
      <c r="A36" s="452"/>
      <c r="B36" s="24">
        <v>43279</v>
      </c>
      <c r="C36" s="280">
        <v>86.8</v>
      </c>
      <c r="D36" s="281">
        <v>0.66400000000000003</v>
      </c>
      <c r="E36" s="282">
        <v>74.8</v>
      </c>
      <c r="F36" s="223">
        <v>92</v>
      </c>
      <c r="G36" s="223">
        <v>82</v>
      </c>
      <c r="H36" s="283">
        <v>24</v>
      </c>
      <c r="I36" s="283">
        <v>0</v>
      </c>
      <c r="J36" s="283">
        <v>24</v>
      </c>
      <c r="K36" s="283">
        <v>0</v>
      </c>
      <c r="L36" s="284">
        <v>0</v>
      </c>
      <c r="M36" s="284">
        <v>0</v>
      </c>
      <c r="N36" s="284">
        <v>0</v>
      </c>
      <c r="O36" s="284">
        <v>0</v>
      </c>
      <c r="P36" s="284">
        <v>17</v>
      </c>
      <c r="Q36" s="286">
        <v>46</v>
      </c>
      <c r="R36" s="285">
        <v>3531</v>
      </c>
      <c r="S36" s="286">
        <v>3221</v>
      </c>
      <c r="T36" s="286">
        <v>3101</v>
      </c>
      <c r="U36" s="286">
        <v>3058</v>
      </c>
      <c r="V36" s="287">
        <v>3159</v>
      </c>
      <c r="W36" s="283">
        <v>41</v>
      </c>
      <c r="X36" s="283">
        <v>0</v>
      </c>
      <c r="Y36" s="283">
        <v>44</v>
      </c>
      <c r="Z36" s="288">
        <v>0</v>
      </c>
      <c r="AA36" s="288">
        <v>57</v>
      </c>
      <c r="AB36" s="284">
        <v>0</v>
      </c>
      <c r="AC36" s="221">
        <f t="shared" si="15"/>
        <v>101</v>
      </c>
      <c r="AD36" s="222">
        <f t="shared" si="16"/>
        <v>-43</v>
      </c>
      <c r="AE36" s="223">
        <v>142</v>
      </c>
      <c r="AF36" s="224">
        <f t="shared" si="17"/>
        <v>0.92693661971830987</v>
      </c>
      <c r="AG36" s="225">
        <f t="shared" si="18"/>
        <v>147.125</v>
      </c>
      <c r="AH36" s="224">
        <f t="shared" si="19"/>
        <v>0.86604361370716509</v>
      </c>
      <c r="AI36" s="226">
        <f t="shared" si="29"/>
        <v>1</v>
      </c>
      <c r="AJ36" s="227">
        <f t="shared" si="20"/>
        <v>0.92414906103286387</v>
      </c>
      <c r="AK36" s="271">
        <v>9.08</v>
      </c>
      <c r="AL36" s="272">
        <v>149.49</v>
      </c>
      <c r="AM36" s="282">
        <f t="shared" si="21"/>
        <v>1357.3692000000001</v>
      </c>
      <c r="AN36" s="271">
        <v>25.623000000000001</v>
      </c>
      <c r="AO36" s="320">
        <v>991.67</v>
      </c>
      <c r="AP36" s="290">
        <f t="shared" si="22"/>
        <v>25409.560410000002</v>
      </c>
      <c r="AQ36" s="228">
        <f t="shared" si="23"/>
        <v>8753.0835873119704</v>
      </c>
      <c r="AR36" s="229">
        <f t="shared" si="30"/>
        <v>134.20833333333334</v>
      </c>
      <c r="AS36" s="291"/>
      <c r="AT36" s="223">
        <v>0</v>
      </c>
      <c r="AU36" s="292">
        <v>0</v>
      </c>
      <c r="AV36" s="292">
        <v>0</v>
      </c>
      <c r="AW36" s="223">
        <v>0</v>
      </c>
      <c r="AX36" s="292">
        <v>15</v>
      </c>
      <c r="AY36" s="223">
        <v>1034</v>
      </c>
      <c r="AZ36" s="223">
        <v>0</v>
      </c>
      <c r="BA36" s="293"/>
      <c r="BB36" s="242">
        <v>1001</v>
      </c>
      <c r="BC36" s="242">
        <v>1057</v>
      </c>
      <c r="BD36" s="242">
        <v>1101</v>
      </c>
      <c r="BE36" s="242">
        <f t="shared" si="24"/>
        <v>56</v>
      </c>
      <c r="BF36" s="242">
        <f t="shared" si="25"/>
        <v>8753.0835873119704</v>
      </c>
      <c r="BG36" s="294">
        <f t="shared" si="26"/>
        <v>45.875</v>
      </c>
      <c r="BH36" s="295">
        <v>0.61699999999999999</v>
      </c>
      <c r="BI36" s="296">
        <v>0.61499999999999999</v>
      </c>
      <c r="BJ36" s="297">
        <v>27</v>
      </c>
      <c r="BK36" s="298">
        <v>25.87</v>
      </c>
      <c r="BL36" s="298">
        <v>21.26</v>
      </c>
      <c r="BM36" s="298">
        <v>26.38</v>
      </c>
      <c r="BN36" s="299">
        <v>985.88</v>
      </c>
      <c r="BO36" s="298">
        <v>50.13</v>
      </c>
      <c r="BP36" s="300">
        <v>0.94</v>
      </c>
      <c r="BQ36" s="298">
        <v>96.68</v>
      </c>
      <c r="BR36" s="297">
        <v>87.51</v>
      </c>
      <c r="BS36" s="242">
        <v>12130</v>
      </c>
      <c r="BT36" s="242">
        <v>11560</v>
      </c>
      <c r="BU36" s="301">
        <f t="shared" si="27"/>
        <v>-570</v>
      </c>
      <c r="BV36" s="242">
        <f t="shared" si="28"/>
        <v>1.232</v>
      </c>
      <c r="BW36" s="302">
        <v>13</v>
      </c>
      <c r="BX36" s="302">
        <v>13</v>
      </c>
      <c r="BZ36" s="302">
        <v>24</v>
      </c>
      <c r="CA36" s="302">
        <v>6.52</v>
      </c>
      <c r="CC36" s="302">
        <v>2.1</v>
      </c>
      <c r="CD36" s="302">
        <v>4.2</v>
      </c>
      <c r="CE36" s="302">
        <v>2</v>
      </c>
      <c r="CF36" s="302">
        <v>0</v>
      </c>
    </row>
    <row r="37" spans="1:84">
      <c r="A37" s="452"/>
      <c r="B37" s="24">
        <v>43280</v>
      </c>
      <c r="C37" s="280">
        <v>84.5</v>
      </c>
      <c r="D37" s="281">
        <v>0.72299999999999998</v>
      </c>
      <c r="E37" s="282">
        <v>76.5</v>
      </c>
      <c r="F37" s="223">
        <v>89</v>
      </c>
      <c r="G37" s="223">
        <v>82</v>
      </c>
      <c r="H37" s="283">
        <v>24</v>
      </c>
      <c r="I37" s="283">
        <v>0</v>
      </c>
      <c r="J37" s="283">
        <v>24</v>
      </c>
      <c r="K37" s="283">
        <v>0</v>
      </c>
      <c r="L37" s="284">
        <v>0</v>
      </c>
      <c r="M37" s="284">
        <v>0</v>
      </c>
      <c r="N37" s="284">
        <v>0</v>
      </c>
      <c r="O37" s="284">
        <v>0</v>
      </c>
      <c r="P37" s="284">
        <v>12</v>
      </c>
      <c r="Q37" s="223">
        <v>6</v>
      </c>
      <c r="R37" s="285">
        <v>3549</v>
      </c>
      <c r="S37" s="286">
        <v>3426</v>
      </c>
      <c r="T37" s="286">
        <v>3196</v>
      </c>
      <c r="U37" s="286">
        <v>3163</v>
      </c>
      <c r="V37" s="287">
        <v>3270</v>
      </c>
      <c r="W37" s="283">
        <v>41</v>
      </c>
      <c r="X37" s="283">
        <v>0</v>
      </c>
      <c r="Y37" s="283">
        <v>44</v>
      </c>
      <c r="Z37" s="288">
        <v>0</v>
      </c>
      <c r="AA37" s="288">
        <v>57</v>
      </c>
      <c r="AB37" s="284">
        <v>0</v>
      </c>
      <c r="AC37" s="221">
        <f t="shared" si="15"/>
        <v>107</v>
      </c>
      <c r="AD37" s="222">
        <f t="shared" si="16"/>
        <v>-33</v>
      </c>
      <c r="AE37" s="223">
        <v>144</v>
      </c>
      <c r="AF37" s="224">
        <f t="shared" si="17"/>
        <v>0.94618055555555558</v>
      </c>
      <c r="AG37" s="225">
        <f t="shared" si="18"/>
        <v>147.875</v>
      </c>
      <c r="AH37" s="224">
        <f t="shared" si="19"/>
        <v>0.89123696816004505</v>
      </c>
      <c r="AI37" s="226">
        <f t="shared" si="29"/>
        <v>1</v>
      </c>
      <c r="AJ37" s="227">
        <f t="shared" si="20"/>
        <v>0.95384389671361491</v>
      </c>
      <c r="AK37" s="271">
        <v>8.1479999999999997</v>
      </c>
      <c r="AL37" s="272">
        <v>141.41999999999999</v>
      </c>
      <c r="AM37" s="282">
        <f t="shared" si="21"/>
        <v>1152.2901599999998</v>
      </c>
      <c r="AN37" s="271">
        <v>26.992000000000001</v>
      </c>
      <c r="AO37" s="320">
        <v>997.36</v>
      </c>
      <c r="AP37" s="290">
        <f t="shared" si="22"/>
        <v>26920.741120000002</v>
      </c>
      <c r="AQ37" s="228">
        <f t="shared" si="23"/>
        <v>8875.444603224787</v>
      </c>
      <c r="AR37" s="229">
        <f t="shared" si="30"/>
        <v>142.75</v>
      </c>
      <c r="AS37" s="291"/>
      <c r="AT37" s="223">
        <v>0</v>
      </c>
      <c r="AU37" s="292">
        <v>0</v>
      </c>
      <c r="AV37" s="292">
        <v>0</v>
      </c>
      <c r="AW37" s="223">
        <v>0</v>
      </c>
      <c r="AX37" s="292">
        <v>13</v>
      </c>
      <c r="AY37" s="223">
        <v>726</v>
      </c>
      <c r="AZ37" s="223">
        <v>0</v>
      </c>
      <c r="BA37" s="293"/>
      <c r="BB37" s="242">
        <v>1001</v>
      </c>
      <c r="BC37" s="242">
        <v>1051</v>
      </c>
      <c r="BD37" s="242">
        <v>1218</v>
      </c>
      <c r="BE37" s="242">
        <f t="shared" si="24"/>
        <v>50</v>
      </c>
      <c r="BF37" s="242">
        <f t="shared" si="25"/>
        <v>8875.444603224787</v>
      </c>
      <c r="BG37" s="294">
        <f t="shared" si="26"/>
        <v>50.75</v>
      </c>
      <c r="BH37" s="295">
        <v>1.2210000000000001</v>
      </c>
      <c r="BI37" s="296">
        <v>1.2170000000000001</v>
      </c>
      <c r="BJ37" s="297">
        <v>27</v>
      </c>
      <c r="BK37" s="298">
        <v>25.76</v>
      </c>
      <c r="BL37" s="298">
        <v>21.4</v>
      </c>
      <c r="BM37" s="298">
        <v>24.48</v>
      </c>
      <c r="BN37" s="299">
        <v>985.46</v>
      </c>
      <c r="BO37" s="298">
        <v>50.14</v>
      </c>
      <c r="BP37" s="300">
        <v>0.94230000000000003</v>
      </c>
      <c r="BQ37" s="298">
        <v>96.8</v>
      </c>
      <c r="BR37" s="297">
        <v>87.54</v>
      </c>
      <c r="BS37" s="242">
        <v>12102</v>
      </c>
      <c r="BT37" s="242">
        <v>11529</v>
      </c>
      <c r="BU37" s="301">
        <f t="shared" si="27"/>
        <v>-573</v>
      </c>
      <c r="BV37" s="242">
        <f t="shared" si="28"/>
        <v>2.4380000000000002</v>
      </c>
      <c r="BW37" s="302">
        <v>24</v>
      </c>
      <c r="BX37" s="302">
        <v>24</v>
      </c>
      <c r="BZ37" s="302">
        <v>24</v>
      </c>
      <c r="CA37" s="302">
        <v>6.62</v>
      </c>
      <c r="CC37" s="302">
        <v>2.1</v>
      </c>
      <c r="CD37" s="302">
        <v>4.3</v>
      </c>
      <c r="CE37" s="302">
        <v>2.1</v>
      </c>
      <c r="CF37" s="302">
        <v>0</v>
      </c>
    </row>
    <row r="38" spans="1:84">
      <c r="A38" s="452"/>
      <c r="B38" s="24">
        <v>43281</v>
      </c>
      <c r="C38" s="280">
        <v>84.3</v>
      </c>
      <c r="D38" s="281">
        <v>0.79600000000000004</v>
      </c>
      <c r="E38" s="282">
        <v>79.2</v>
      </c>
      <c r="F38" s="223">
        <v>92</v>
      </c>
      <c r="G38" s="223">
        <v>78</v>
      </c>
      <c r="H38" s="283">
        <v>20</v>
      </c>
      <c r="I38" s="283">
        <v>4</v>
      </c>
      <c r="J38" s="283">
        <v>24</v>
      </c>
      <c r="K38" s="283">
        <v>0</v>
      </c>
      <c r="L38" s="284">
        <v>0</v>
      </c>
      <c r="M38" s="284">
        <v>0</v>
      </c>
      <c r="N38" s="284">
        <v>0</v>
      </c>
      <c r="O38" s="284">
        <v>0</v>
      </c>
      <c r="P38" s="284">
        <v>0</v>
      </c>
      <c r="Q38" s="280">
        <v>0</v>
      </c>
      <c r="R38" s="285">
        <v>3552</v>
      </c>
      <c r="S38" s="286">
        <v>2879</v>
      </c>
      <c r="T38" s="286">
        <v>2759</v>
      </c>
      <c r="U38" s="286">
        <v>2719</v>
      </c>
      <c r="V38" s="287">
        <v>2814</v>
      </c>
      <c r="W38" s="283">
        <v>41</v>
      </c>
      <c r="X38" s="283">
        <v>218</v>
      </c>
      <c r="Y38" s="283">
        <v>44</v>
      </c>
      <c r="Z38" s="288">
        <v>0</v>
      </c>
      <c r="AA38" s="288">
        <v>57</v>
      </c>
      <c r="AB38" s="284">
        <v>0</v>
      </c>
      <c r="AC38" s="221">
        <f t="shared" si="15"/>
        <v>95</v>
      </c>
      <c r="AD38" s="222">
        <f t="shared" si="16"/>
        <v>-40</v>
      </c>
      <c r="AE38" s="223">
        <v>131</v>
      </c>
      <c r="AF38" s="224">
        <f t="shared" si="17"/>
        <v>0.89503816793893132</v>
      </c>
      <c r="AG38" s="225">
        <f t="shared" si="18"/>
        <v>148</v>
      </c>
      <c r="AH38" s="224">
        <f t="shared" si="19"/>
        <v>0.76548423423423428</v>
      </c>
      <c r="AI38" s="226">
        <f t="shared" si="29"/>
        <v>0.95628912363067287</v>
      </c>
      <c r="AJ38" s="227">
        <f t="shared" si="20"/>
        <v>0.8275919405320814</v>
      </c>
      <c r="AK38" s="271">
        <v>9.06</v>
      </c>
      <c r="AL38" s="272">
        <v>147.07</v>
      </c>
      <c r="AM38" s="282">
        <f t="shared" si="21"/>
        <v>1332.4541999999999</v>
      </c>
      <c r="AN38" s="271">
        <v>23.047999999999998</v>
      </c>
      <c r="AO38" s="320">
        <v>985.41</v>
      </c>
      <c r="AP38" s="290">
        <f t="shared" si="22"/>
        <v>22711.729679999997</v>
      </c>
      <c r="AQ38" s="228">
        <f t="shared" si="23"/>
        <v>8843.0245972784105</v>
      </c>
      <c r="AR38" s="229">
        <f t="shared" si="30"/>
        <v>119.95833333333333</v>
      </c>
      <c r="AS38" s="291"/>
      <c r="AT38" s="223">
        <v>22</v>
      </c>
      <c r="AU38" s="292">
        <v>18</v>
      </c>
      <c r="AV38" s="292">
        <v>0</v>
      </c>
      <c r="AW38" s="223">
        <v>0</v>
      </c>
      <c r="AX38" s="292">
        <v>18</v>
      </c>
      <c r="AY38" s="223">
        <v>1440</v>
      </c>
      <c r="AZ38" s="223">
        <v>0</v>
      </c>
      <c r="BA38" s="293"/>
      <c r="BB38" s="242">
        <v>832</v>
      </c>
      <c r="BC38" s="242">
        <v>1051</v>
      </c>
      <c r="BD38" s="242">
        <v>931</v>
      </c>
      <c r="BE38" s="242">
        <f t="shared" si="24"/>
        <v>219</v>
      </c>
      <c r="BF38" s="242">
        <f t="shared" si="25"/>
        <v>8843.0245972784105</v>
      </c>
      <c r="BG38" s="294">
        <f t="shared" si="26"/>
        <v>38.791666666666664</v>
      </c>
      <c r="BH38" s="295">
        <v>0.10100000000000001</v>
      </c>
      <c r="BI38" s="296">
        <v>0.253</v>
      </c>
      <c r="BJ38" s="297">
        <v>27</v>
      </c>
      <c r="BK38" s="298">
        <v>21.98</v>
      </c>
      <c r="BL38" s="298">
        <v>21.57</v>
      </c>
      <c r="BM38" s="298">
        <v>26.04</v>
      </c>
      <c r="BN38" s="299">
        <v>984.67</v>
      </c>
      <c r="BO38" s="298">
        <v>50.13</v>
      </c>
      <c r="BP38" s="300">
        <v>0.93969999999999998</v>
      </c>
      <c r="BQ38" s="298">
        <v>97.3</v>
      </c>
      <c r="BR38" s="297">
        <v>87.66</v>
      </c>
      <c r="BS38" s="242">
        <v>12327</v>
      </c>
      <c r="BT38" s="242">
        <v>11741</v>
      </c>
      <c r="BU38" s="301">
        <f t="shared" si="27"/>
        <v>-586</v>
      </c>
      <c r="BV38" s="242">
        <f t="shared" si="28"/>
        <v>0.35399999999999998</v>
      </c>
      <c r="BW38" s="302">
        <v>6.1</v>
      </c>
      <c r="BX38" s="302">
        <v>10.119999999999999</v>
      </c>
      <c r="BZ38" s="302">
        <v>19.100000000000001</v>
      </c>
      <c r="CA38" s="302">
        <v>7.13</v>
      </c>
      <c r="CC38" s="302">
        <v>2.1</v>
      </c>
      <c r="CD38" s="302">
        <v>4.3</v>
      </c>
      <c r="CE38" s="302">
        <v>2.1</v>
      </c>
      <c r="CF38" s="302">
        <v>0</v>
      </c>
    </row>
    <row r="39" spans="1:84">
      <c r="A39" s="453"/>
      <c r="B39" s="24">
        <v>43282</v>
      </c>
      <c r="C39" s="280"/>
      <c r="D39" s="281"/>
      <c r="E39" s="282"/>
      <c r="F39" s="223"/>
      <c r="G39" s="223"/>
      <c r="H39" s="283"/>
      <c r="I39" s="283"/>
      <c r="J39" s="283"/>
      <c r="K39" s="283"/>
      <c r="L39" s="284"/>
      <c r="M39" s="284"/>
      <c r="N39" s="284"/>
      <c r="O39" s="284"/>
      <c r="P39" s="284"/>
      <c r="Q39" s="280"/>
      <c r="R39" s="285"/>
      <c r="S39" s="286"/>
      <c r="T39" s="286"/>
      <c r="U39" s="286"/>
      <c r="V39" s="287"/>
      <c r="W39" s="283"/>
      <c r="X39" s="283"/>
      <c r="Y39" s="283"/>
      <c r="Z39" s="288"/>
      <c r="AA39" s="288"/>
      <c r="AB39" s="284"/>
      <c r="AC39" s="221">
        <f t="shared" si="15"/>
        <v>0</v>
      </c>
      <c r="AD39" s="222">
        <f t="shared" si="16"/>
        <v>0</v>
      </c>
      <c r="AE39" s="223"/>
      <c r="AF39" s="224" t="str">
        <f t="shared" si="17"/>
        <v>no data</v>
      </c>
      <c r="AG39" s="225" t="str">
        <f t="shared" si="18"/>
        <v>no data</v>
      </c>
      <c r="AH39" s="224" t="str">
        <f t="shared" si="19"/>
        <v>no data</v>
      </c>
      <c r="AI39" s="226" t="str">
        <f t="shared" si="29"/>
        <v>no data</v>
      </c>
      <c r="AJ39" s="227" t="str">
        <f t="shared" si="20"/>
        <v>no data</v>
      </c>
      <c r="AK39" s="255"/>
      <c r="AL39" s="256"/>
      <c r="AM39" s="282">
        <f t="shared" si="21"/>
        <v>0</v>
      </c>
      <c r="AN39" s="255"/>
      <c r="AO39" s="289"/>
      <c r="AP39" s="290">
        <f t="shared" si="22"/>
        <v>0</v>
      </c>
      <c r="AQ39" s="228" t="str">
        <f t="shared" si="23"/>
        <v>no data</v>
      </c>
      <c r="AR39" s="229" t="str">
        <f t="shared" si="30"/>
        <v>no data</v>
      </c>
      <c r="AS39" s="291"/>
      <c r="AT39" s="223"/>
      <c r="AU39" s="292"/>
      <c r="AV39" s="292"/>
      <c r="AW39" s="223"/>
      <c r="AX39" s="292"/>
      <c r="AY39" s="223"/>
      <c r="AZ39" s="223"/>
      <c r="BA39" s="293"/>
      <c r="BB39" s="242"/>
      <c r="BC39" s="242"/>
      <c r="BD39" s="242"/>
      <c r="BE39" s="242">
        <f t="shared" si="24"/>
        <v>0</v>
      </c>
      <c r="BF39" s="242" t="str">
        <f t="shared" si="25"/>
        <v>no data</v>
      </c>
      <c r="BG39" s="294">
        <f t="shared" si="26"/>
        <v>0</v>
      </c>
      <c r="BH39" s="295"/>
      <c r="BI39" s="296"/>
      <c r="BJ39" s="297"/>
      <c r="BK39" s="298"/>
      <c r="BL39" s="298"/>
      <c r="BM39" s="298"/>
      <c r="BN39" s="299"/>
      <c r="BO39" s="298"/>
      <c r="BP39" s="300"/>
      <c r="BQ39" s="298"/>
      <c r="BR39" s="297"/>
      <c r="BS39" s="242"/>
      <c r="BT39" s="242"/>
      <c r="BU39" s="301">
        <f t="shared" si="27"/>
        <v>0</v>
      </c>
      <c r="BV39" s="242"/>
      <c r="BW39" s="302"/>
      <c r="BX39" s="302"/>
      <c r="BZ39" s="302"/>
      <c r="CA39" s="302"/>
      <c r="CC39" s="302"/>
      <c r="CD39" s="302"/>
      <c r="CE39" s="302"/>
      <c r="CF39" s="302"/>
    </row>
    <row r="40" spans="1:84">
      <c r="A40" s="79"/>
      <c r="B40" s="80" t="s">
        <v>83</v>
      </c>
      <c r="C40" s="81">
        <f>AVERAGE(C9:C38)</f>
        <v>94.762000000000015</v>
      </c>
      <c r="D40" s="82">
        <f>AVERAGE(D9:D38)</f>
        <v>0.53062666666666669</v>
      </c>
      <c r="E40" s="81">
        <f>AVERAGE(E9:E38)</f>
        <v>74.909666666666666</v>
      </c>
      <c r="F40" s="81">
        <f>AVERAGE(F9:F38)</f>
        <v>104.33333333333333</v>
      </c>
      <c r="G40" s="81">
        <f>AVERAGE(G9:G38)</f>
        <v>85.166666666666671</v>
      </c>
      <c r="H40" s="81">
        <f>SUM(H9:H38)+(INT(SUM(I9:I38)/60))</f>
        <v>658</v>
      </c>
      <c r="I40" s="81">
        <f>SUM(I9:I38)-(INT(SUM(I9:I38)/60)*60)</f>
        <v>50</v>
      </c>
      <c r="J40" s="81">
        <f>SUM(J9:J38)+(INT(SUM(K9:K38)/60))</f>
        <v>686</v>
      </c>
      <c r="K40" s="81">
        <f t="shared" ref="K40:Q40" si="31">SUM(K9:K38)-(INT(SUM(K9:K38)/60)*60)</f>
        <v>12</v>
      </c>
      <c r="L40" s="81">
        <f t="shared" si="31"/>
        <v>49</v>
      </c>
      <c r="M40" s="81">
        <f t="shared" si="31"/>
        <v>35</v>
      </c>
      <c r="N40" s="81">
        <f t="shared" si="31"/>
        <v>29</v>
      </c>
      <c r="O40" s="81">
        <f t="shared" si="31"/>
        <v>41</v>
      </c>
      <c r="P40" s="81">
        <f t="shared" si="31"/>
        <v>7</v>
      </c>
      <c r="Q40" s="81">
        <f t="shared" si="31"/>
        <v>1</v>
      </c>
      <c r="R40" s="83">
        <f>SUM(R9:R38)</f>
        <v>103320</v>
      </c>
      <c r="S40" s="83">
        <f>SUM(S9:S38)</f>
        <v>91695</v>
      </c>
      <c r="T40" s="83">
        <f>SUM(T9:T38)</f>
        <v>85033</v>
      </c>
      <c r="U40" s="196">
        <v>82773.850000000006</v>
      </c>
      <c r="V40" s="83">
        <f>SUM(V9:V38)</f>
        <v>85477</v>
      </c>
      <c r="W40" s="85">
        <f>AVERAGE(W9:W38)</f>
        <v>41.266666666666666</v>
      </c>
      <c r="X40" s="85">
        <f>SUM(X9:X38)</f>
        <v>375</v>
      </c>
      <c r="Y40" s="85">
        <f>AVERAGE(Y9:Y38)</f>
        <v>43.333333333333336</v>
      </c>
      <c r="Z40" s="85">
        <f>SUM(Z9:Z38)</f>
        <v>92</v>
      </c>
      <c r="AA40" s="85">
        <f>AVERAGE(AA9:AA38)</f>
        <v>57</v>
      </c>
      <c r="AB40" s="85">
        <f>SUM(AB9:AB38)</f>
        <v>126</v>
      </c>
      <c r="AC40" s="86">
        <f>V40-U40+AZ40</f>
        <v>2733.1499999999942</v>
      </c>
      <c r="AD40" s="87">
        <f>(SUM($AD$9:$AD$38))</f>
        <v>-2438</v>
      </c>
      <c r="AE40" s="87">
        <f t="shared" ref="AE40:AJ40" si="32">AVERAGE(AE9:AE38)</f>
        <v>130.4</v>
      </c>
      <c r="AF40" s="88">
        <f t="shared" si="32"/>
        <v>0.90934644223537908</v>
      </c>
      <c r="AG40" s="83">
        <f t="shared" si="32"/>
        <v>143.5</v>
      </c>
      <c r="AH40" s="88">
        <f t="shared" si="32"/>
        <v>0.79989007910432486</v>
      </c>
      <c r="AI40" s="88">
        <f t="shared" si="32"/>
        <v>0.99565238654147104</v>
      </c>
      <c r="AJ40" s="88">
        <f t="shared" si="32"/>
        <v>0.8864236062613472</v>
      </c>
      <c r="AK40" s="89">
        <f>SUM(AK9:AK38)</f>
        <v>260.07599999999996</v>
      </c>
      <c r="AL40" s="89">
        <f>AVERAGE(AL9:AL38)</f>
        <v>152.24366666666666</v>
      </c>
      <c r="AM40" s="89">
        <f>SUM(AM9:AM38)</f>
        <v>39600.919580000002</v>
      </c>
      <c r="AN40" s="89">
        <f>SUM(AN9:AN38)</f>
        <v>686.88546999999994</v>
      </c>
      <c r="AO40" s="87">
        <f>AVERAGE(AO9:AO38)</f>
        <v>991.99794537298237</v>
      </c>
      <c r="AP40" s="90">
        <f>SUM(AP9:AP38)</f>
        <v>681118.34887820168</v>
      </c>
      <c r="AQ40" s="91">
        <f>((AM40+AP40))/(U40*1000)*1000000</f>
        <v>8707.0888747859572</v>
      </c>
      <c r="AR40" s="339">
        <f>AVERAGE(AR9:AR38)</f>
        <v>127.35416666666667</v>
      </c>
      <c r="AS40" s="13"/>
      <c r="AT40" s="93">
        <f t="shared" ref="AT40:AZ40" si="33">SUM(AT9:AT38)</f>
        <v>137</v>
      </c>
      <c r="AU40" s="93">
        <f t="shared" si="33"/>
        <v>200</v>
      </c>
      <c r="AV40" s="93">
        <f t="shared" si="33"/>
        <v>68</v>
      </c>
      <c r="AW40" s="93">
        <f t="shared" si="33"/>
        <v>398</v>
      </c>
      <c r="AX40" s="93">
        <f t="shared" si="33"/>
        <v>531</v>
      </c>
      <c r="AY40" s="93">
        <f t="shared" si="33"/>
        <v>37774</v>
      </c>
      <c r="AZ40" s="93">
        <f t="shared" si="33"/>
        <v>30</v>
      </c>
      <c r="BA40" s="4"/>
      <c r="BB40" s="94">
        <f>SUM(BB9:BB38)</f>
        <v>27236</v>
      </c>
      <c r="BC40" s="94">
        <f>SUM(BC9:BC38)</f>
        <v>29758</v>
      </c>
      <c r="BD40" s="94">
        <f>SUM(BD9:BD38)</f>
        <v>28483</v>
      </c>
      <c r="BE40" s="6">
        <f>(BC40-BB40)</f>
        <v>2522</v>
      </c>
      <c r="BF40" s="95">
        <f t="shared" si="25"/>
        <v>8707.0888747859572</v>
      </c>
      <c r="BG40" s="95">
        <f>AVERAGE(BG9:BG38)</f>
        <v>39.559722222222227</v>
      </c>
      <c r="BH40" s="95">
        <f>SUM(BH9:BH38)</f>
        <v>5.125</v>
      </c>
      <c r="BI40" s="95">
        <f>SUM(BI9:BI38)</f>
        <v>5.2119999999999997</v>
      </c>
      <c r="BJ40" s="95">
        <f>AVERAGE(BJ9:BJ38)</f>
        <v>26.996666666666666</v>
      </c>
      <c r="BK40" s="95">
        <f>AVERAGE(BK9:BK38)</f>
        <v>23.575000000000003</v>
      </c>
      <c r="BL40" s="95">
        <f t="shared" ref="BL40:BT40" si="34">AVERAGE(BL9:BL38)</f>
        <v>19.971</v>
      </c>
      <c r="BM40" s="95">
        <f t="shared" si="34"/>
        <v>25.410999999999998</v>
      </c>
      <c r="BN40" s="95">
        <f t="shared" si="34"/>
        <v>979.93200000000002</v>
      </c>
      <c r="BO40" s="95">
        <f t="shared" si="34"/>
        <v>50.125333333333352</v>
      </c>
      <c r="BP40" s="95">
        <f t="shared" si="34"/>
        <v>0.94108333333333294</v>
      </c>
      <c r="BQ40" s="95">
        <f t="shared" si="34"/>
        <v>96.475666666666655</v>
      </c>
      <c r="BR40" s="95">
        <f t="shared" si="34"/>
        <v>87.294333333333341</v>
      </c>
      <c r="BS40" s="95">
        <f t="shared" si="34"/>
        <v>12154.7</v>
      </c>
      <c r="BT40" s="95">
        <f t="shared" si="34"/>
        <v>11639.433333333332</v>
      </c>
      <c r="BU40" s="6"/>
      <c r="BV40" s="97">
        <f>(SUM(BV9:BV38))</f>
        <v>10.337</v>
      </c>
      <c r="BW40" s="97">
        <f>(SUM(BW9:BW38))</f>
        <v>81.25</v>
      </c>
      <c r="BX40" s="97">
        <f>(SUM(BX9:BX38))</f>
        <v>85.27000000000001</v>
      </c>
      <c r="BY40" s="97"/>
      <c r="BZ40" s="97">
        <f>(SUM(BZ9:BZ38))</f>
        <v>650.08000000000004</v>
      </c>
      <c r="CA40" s="97">
        <f>(SUM(CA9:CA38))</f>
        <v>199.68999999999997</v>
      </c>
      <c r="CC40" s="97"/>
      <c r="CD40" s="97"/>
      <c r="CE40" s="97"/>
      <c r="CF40" s="97"/>
    </row>
    <row r="41" spans="1:84" ht="15.75" thickBot="1">
      <c r="A41" s="98"/>
      <c r="B41" s="99" t="s">
        <v>84</v>
      </c>
      <c r="C41" s="100" t="s">
        <v>85</v>
      </c>
      <c r="D41" s="101" t="s">
        <v>86</v>
      </c>
      <c r="E41" s="101"/>
      <c r="F41" s="102" t="s">
        <v>87</v>
      </c>
      <c r="G41" s="102" t="s">
        <v>88</v>
      </c>
      <c r="H41" s="102" t="s">
        <v>75</v>
      </c>
      <c r="I41" s="102" t="s">
        <v>76</v>
      </c>
      <c r="J41" s="102" t="s">
        <v>75</v>
      </c>
      <c r="K41" s="102" t="s">
        <v>76</v>
      </c>
      <c r="L41" s="102" t="s">
        <v>75</v>
      </c>
      <c r="M41" s="102" t="s">
        <v>76</v>
      </c>
      <c r="N41" s="102" t="s">
        <v>75</v>
      </c>
      <c r="O41" s="102" t="s">
        <v>76</v>
      </c>
      <c r="P41" s="102" t="s">
        <v>75</v>
      </c>
      <c r="Q41" s="102" t="s">
        <v>76</v>
      </c>
      <c r="R41" s="103" t="s">
        <v>91</v>
      </c>
      <c r="S41" s="103" t="s">
        <v>91</v>
      </c>
      <c r="T41" s="103" t="s">
        <v>91</v>
      </c>
      <c r="U41" s="103" t="s">
        <v>91</v>
      </c>
      <c r="V41" s="103" t="s">
        <v>91</v>
      </c>
      <c r="W41" s="103" t="s">
        <v>92</v>
      </c>
      <c r="X41" s="103" t="s">
        <v>93</v>
      </c>
      <c r="Y41" s="103" t="s">
        <v>94</v>
      </c>
      <c r="Z41" s="103" t="s">
        <v>93</v>
      </c>
      <c r="AA41" s="103" t="s">
        <v>94</v>
      </c>
      <c r="AB41" s="103" t="s">
        <v>93</v>
      </c>
      <c r="AC41" s="103" t="s">
        <v>95</v>
      </c>
      <c r="AD41" s="103" t="s">
        <v>96</v>
      </c>
      <c r="AE41" s="103" t="s">
        <v>97</v>
      </c>
      <c r="AF41" s="103" t="s">
        <v>98</v>
      </c>
      <c r="AG41" s="103" t="s">
        <v>99</v>
      </c>
      <c r="AH41" s="103" t="s">
        <v>99</v>
      </c>
      <c r="AI41" s="103"/>
      <c r="AJ41" s="103" t="s">
        <v>99</v>
      </c>
      <c r="AK41" s="103" t="s">
        <v>100</v>
      </c>
      <c r="AL41" s="103" t="s">
        <v>99</v>
      </c>
      <c r="AM41" s="103"/>
      <c r="AN41" s="103" t="s">
        <v>100</v>
      </c>
      <c r="AO41" s="103" t="s">
        <v>99</v>
      </c>
      <c r="AP41" s="104"/>
      <c r="AQ41" s="105" t="s">
        <v>99</v>
      </c>
      <c r="AR41" s="106"/>
      <c r="AS41" s="107"/>
      <c r="AZ41" s="108" t="s">
        <v>100</v>
      </c>
      <c r="BA41" s="4"/>
      <c r="BF41" s="109" t="str">
        <f t="shared" si="25"/>
        <v>Avg.</v>
      </c>
      <c r="BS41" s="5"/>
      <c r="BT41" s="5"/>
      <c r="BU41" s="6"/>
    </row>
    <row r="42" spans="1:84" ht="15.75" thickBot="1">
      <c r="B42" s="110"/>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c r="AA42" s="110"/>
      <c r="AB42" s="110"/>
      <c r="AC42" s="110"/>
      <c r="AD42" s="110"/>
      <c r="AE42" s="110"/>
      <c r="AF42" s="110"/>
      <c r="AG42" s="110"/>
      <c r="AH42" s="110"/>
      <c r="AI42" s="110"/>
      <c r="AJ42" s="110"/>
      <c r="AK42" s="110"/>
      <c r="AL42" s="110"/>
      <c r="AM42" s="111"/>
      <c r="AQ42" s="112"/>
      <c r="AR42" s="112"/>
      <c r="AS42" s="4"/>
      <c r="BA42" s="113"/>
      <c r="BB42" s="114"/>
      <c r="BC42" s="114"/>
      <c r="BD42" s="114"/>
      <c r="BE42" s="6"/>
      <c r="BS42" s="5"/>
      <c r="BT42" s="5"/>
      <c r="BU42" s="6"/>
    </row>
    <row r="43" spans="1:84" ht="60.75" thickBot="1">
      <c r="B43" s="115" t="s">
        <v>101</v>
      </c>
      <c r="C43" s="116" t="s">
        <v>102</v>
      </c>
      <c r="D43" s="116" t="s">
        <v>103</v>
      </c>
      <c r="E43" s="338"/>
      <c r="F43" s="428" t="s">
        <v>104</v>
      </c>
      <c r="G43" s="429"/>
      <c r="H43" s="428" t="s">
        <v>105</v>
      </c>
      <c r="I43" s="429"/>
      <c r="J43" s="428" t="s">
        <v>106</v>
      </c>
      <c r="K43" s="429"/>
      <c r="L43" s="428" t="s">
        <v>107</v>
      </c>
      <c r="M43" s="429"/>
      <c r="N43" s="428" t="s">
        <v>108</v>
      </c>
      <c r="O43" s="429"/>
      <c r="P43" s="428" t="s">
        <v>109</v>
      </c>
      <c r="Q43" s="429"/>
      <c r="R43" s="117" t="s">
        <v>110</v>
      </c>
      <c r="S43" s="118" t="s">
        <v>111</v>
      </c>
      <c r="T43" s="119" t="s">
        <v>112</v>
      </c>
      <c r="U43" s="116" t="s">
        <v>11</v>
      </c>
      <c r="V43" s="119" t="s">
        <v>12</v>
      </c>
      <c r="W43" s="116" t="s">
        <v>113</v>
      </c>
      <c r="X43" s="116" t="s">
        <v>14</v>
      </c>
      <c r="Y43" s="116" t="s">
        <v>114</v>
      </c>
      <c r="Z43" s="116" t="s">
        <v>16</v>
      </c>
      <c r="AA43" s="116" t="s">
        <v>18</v>
      </c>
      <c r="AB43" s="116" t="s">
        <v>17</v>
      </c>
      <c r="AC43" s="118" t="s">
        <v>19</v>
      </c>
      <c r="AD43" s="120" t="s">
        <v>20</v>
      </c>
      <c r="AE43" s="121" t="s">
        <v>21</v>
      </c>
      <c r="AF43" s="121" t="s">
        <v>22</v>
      </c>
      <c r="AG43" s="121" t="s">
        <v>115</v>
      </c>
      <c r="AH43" s="122" t="s">
        <v>116</v>
      </c>
      <c r="AI43" s="122" t="s">
        <v>25</v>
      </c>
      <c r="AJ43" s="123" t="s">
        <v>26</v>
      </c>
      <c r="AK43" s="119" t="s">
        <v>117</v>
      </c>
      <c r="AL43" s="124" t="s">
        <v>28</v>
      </c>
      <c r="AM43" s="124" t="s">
        <v>29</v>
      </c>
      <c r="AN43" s="119" t="s">
        <v>118</v>
      </c>
      <c r="AO43" s="124" t="s">
        <v>119</v>
      </c>
      <c r="AP43" s="124" t="s">
        <v>32</v>
      </c>
      <c r="AQ43" s="123" t="s">
        <v>120</v>
      </c>
      <c r="AR43" s="125"/>
      <c r="AS43" s="125"/>
      <c r="BA43" s="113"/>
      <c r="BB43" s="114"/>
      <c r="BC43" s="114"/>
      <c r="BD43" s="114"/>
      <c r="BE43" s="126">
        <f>AVERAGE(BE27:BE30)</f>
        <v>98.75</v>
      </c>
      <c r="BS43" s="5"/>
      <c r="BT43" s="5"/>
      <c r="BU43" s="6"/>
    </row>
    <row r="44" spans="1:84">
      <c r="B44" s="127" t="s">
        <v>195</v>
      </c>
      <c r="C44" s="128">
        <f>IF(C5=0,"no data",AVERAGE(C5:C11))</f>
        <v>97.92</v>
      </c>
      <c r="D44" s="128">
        <f>IF(D5=0,"no data",AVERAGE(D5:D11))*100</f>
        <v>36.992857142857147</v>
      </c>
      <c r="E44" s="128">
        <f>IF(E5=0,"no data",AVERAGE(E5:E11))</f>
        <v>69.30285714285715</v>
      </c>
      <c r="F44" s="128">
        <f>IF(F5=0,"no data",AVERAGE(F5:F11))</f>
        <v>109.57142857142857</v>
      </c>
      <c r="G44" s="128">
        <f>IF(G5=0,"no data",AVERAGE(G5:G11))</f>
        <v>85.285714285714292</v>
      </c>
      <c r="H44" s="128">
        <f>SUM(H5:H11)+INT(SUM(I5:I11)/60)</f>
        <v>159</v>
      </c>
      <c r="I44" s="128">
        <f>SUM(I5:I11)-INT(SUM(I5:I11)/60)*60</f>
        <v>56</v>
      </c>
      <c r="J44" s="128">
        <f>SUM(J5:J11)+INT(SUM(K5:K11)/60)</f>
        <v>161</v>
      </c>
      <c r="K44" s="128">
        <f>SUM(K5:K11)-INT(SUM(K5:K11)/60)*60</f>
        <v>2</v>
      </c>
      <c r="L44" s="128">
        <f>SUM(L5:L11)+INT(SUM(M5:M11)/60)</f>
        <v>0</v>
      </c>
      <c r="M44" s="128">
        <f>SUM(M5:M11)-INT(SUM(M5:M11)/60)*60</f>
        <v>0</v>
      </c>
      <c r="N44" s="128">
        <f>SUM(N5:N11)+INT(SUM(O5:O11)/60)</f>
        <v>0</v>
      </c>
      <c r="O44" s="128">
        <f>SUM(O5:O11)-INT(SUM(O5:O11)/60)*60</f>
        <v>0</v>
      </c>
      <c r="P44" s="128">
        <f>SUM(P5:P11)+INT(SUM(Q5:Q11)/60)</f>
        <v>0</v>
      </c>
      <c r="Q44" s="128">
        <f>SUM(Q5:Q11)-INT(SUM(Q5:Q11)/60)*60</f>
        <v>0</v>
      </c>
      <c r="R44" s="130">
        <f>IF(C5=0,"no data", AVERAGE(R5:R11))</f>
        <v>3414.8571428571427</v>
      </c>
      <c r="S44" s="130">
        <f>IF(D5=0,"no data", AVERAGE(S5:S11))</f>
        <v>3036</v>
      </c>
      <c r="T44" s="130">
        <f>IF(E5=0,"no data", AVERAGE(T5:T11))</f>
        <v>3036</v>
      </c>
      <c r="U44" s="139">
        <f>IF(U5=0,"no data", SUM(U5:U11))</f>
        <v>19887</v>
      </c>
      <c r="V44" s="139">
        <f>IF(V5=0,"no data", SUM(V5:V11))</f>
        <v>20562</v>
      </c>
      <c r="W44" s="131">
        <f>IF(W5=0,"no data", AVERAGE(W5:W11))</f>
        <v>42.285714285714285</v>
      </c>
      <c r="X44" s="140">
        <f>IF(AND(X5=0,X6=0,X7=0,X8=0,X9=0,X10=0,X11=0),"No outage",SUM(X5:X11))</f>
        <v>465</v>
      </c>
      <c r="Y44" s="131">
        <f>IF(Y5=0,"no data", AVERAGE(Y5:Y11))</f>
        <v>44.142857142857146</v>
      </c>
      <c r="Z44" s="140">
        <f>IF(AND(Z5=0,Z6=0,Z7=0,Z8=0,Z9=0,Z10=0,Z11=0),"No outage",SUM(Z5:Z11))</f>
        <v>307</v>
      </c>
      <c r="AA44" s="132">
        <f>IF(AND(AB5=0,AB6=0,AB7=0,AB8=0,AB9=0, AB10=0,AB11=0),"No outage",SUM(AB5:AB11))</f>
        <v>417</v>
      </c>
      <c r="AB44" s="132">
        <f>IF(AA5=0,"no data", AVERAGE(AA5:AA11))</f>
        <v>57</v>
      </c>
      <c r="AC44" s="128" t="str">
        <f>IF(Z5=0,"no data", SUM(AC5:AC11))</f>
        <v>no data</v>
      </c>
      <c r="AD44" s="128">
        <f>IF(AD5=0,"no data", SUM(AD5:AD11))</f>
        <v>-1365</v>
      </c>
      <c r="AE44" s="131">
        <f t="shared" ref="AE44:AJ44" si="35">IF(AE5=0,"no data", AVERAGE(AE5:AE11))</f>
        <v>130</v>
      </c>
      <c r="AF44" s="133">
        <f t="shared" si="35"/>
        <v>0.94118618385206598</v>
      </c>
      <c r="AG44" s="132">
        <f t="shared" si="35"/>
        <v>142.28571428571431</v>
      </c>
      <c r="AH44" s="133">
        <f t="shared" si="35"/>
        <v>0.83192820512341126</v>
      </c>
      <c r="AI44" s="133">
        <f t="shared" si="35"/>
        <v>0.96059010434010439</v>
      </c>
      <c r="AJ44" s="133">
        <f t="shared" si="35"/>
        <v>0.85460970178976492</v>
      </c>
      <c r="AK44" s="132">
        <f>IF(AK5=0,"no data", SUM(AK5:AK11))</f>
        <v>62.866</v>
      </c>
      <c r="AL44" s="132">
        <f>IF(AL5=0,"no data", AVERAGE(AL5:AL11))</f>
        <v>152.41428571428574</v>
      </c>
      <c r="AM44" s="132">
        <f>AK44*AL44</f>
        <v>9581.676485714288</v>
      </c>
      <c r="AN44" s="132">
        <f>IF(AN5=0,"no data", SUM(AN5:AN11))</f>
        <v>165.54199999999997</v>
      </c>
      <c r="AO44" s="132">
        <f>IF(AO5=0,"no data", AVERAGE(AO5:AO11))</f>
        <v>979.43440312784901</v>
      </c>
      <c r="AP44" s="132">
        <f>AN44*AO44</f>
        <v>162137.52996259034</v>
      </c>
      <c r="AQ44" s="134">
        <f>IF(AQ5=0,"no data", AVERAGE(AQ5:AQ11))</f>
        <v>8644.152577906747</v>
      </c>
      <c r="AR44" s="135"/>
      <c r="AS44" s="136"/>
      <c r="BA44" s="113"/>
      <c r="BB44" s="114"/>
      <c r="BC44" s="114"/>
      <c r="BD44" s="114"/>
      <c r="BS44" s="5"/>
      <c r="BT44" s="5"/>
      <c r="BU44" s="6"/>
    </row>
    <row r="45" spans="1:84">
      <c r="B45" s="127" t="s">
        <v>218</v>
      </c>
      <c r="C45" s="137">
        <f>IF(C12=0,"no data", AVERAGE(C12:C18))</f>
        <v>96.991428571428585</v>
      </c>
      <c r="D45" s="138">
        <f>IF(D12=0,"no data", AVERAGE(D12:D18))</f>
        <v>0.49194285714285718</v>
      </c>
      <c r="E45" s="140">
        <f>IF(E12=0,"no data", AVERAGE(E12:E18))</f>
        <v>74.97571428571429</v>
      </c>
      <c r="F45" s="137">
        <f>IF(F12=0,"no data", AVERAGE(F12:F18))</f>
        <v>106.71428571428571</v>
      </c>
      <c r="G45" s="137">
        <f>IF(G12=0,"no data", AVERAGE(G12:G18))</f>
        <v>87</v>
      </c>
      <c r="H45" s="137">
        <f>SUM(H12:H18)+INT(SUM(I12:I18)/60)</f>
        <v>165</v>
      </c>
      <c r="I45" s="137">
        <f>SUM(I12:I18)-INT(SUM(J12:J18)/60)</f>
        <v>6</v>
      </c>
      <c r="J45" s="137">
        <f>SUM(J12:J18)+INT(SUM(K12:K18)/60)</f>
        <v>166</v>
      </c>
      <c r="K45" s="137">
        <f>SUM(K12:K18)-INT(SUM(L12:L18)/60)*60</f>
        <v>7</v>
      </c>
      <c r="L45" s="137">
        <f>SUM(L12:L18)+INT(SUM(M12:M18)/60)</f>
        <v>0</v>
      </c>
      <c r="M45" s="137">
        <f>SUM(M12:M18)-INT(SUM(N12:N18)/60)*60</f>
        <v>0</v>
      </c>
      <c r="N45" s="137">
        <f>SUM(N12:N18)+INT(SUM(O12:O18)/60)</f>
        <v>0</v>
      </c>
      <c r="O45" s="137">
        <v>0</v>
      </c>
      <c r="P45" s="137">
        <f>SUM(P12:P18)+INT(SUM(Q12:Q18)/60)</f>
        <v>2</v>
      </c>
      <c r="Q45" s="137">
        <f>SUM(Q8:Q12)-INT(SUM(Q12:Q18)/60)*60</f>
        <v>9</v>
      </c>
      <c r="R45" s="139">
        <f>IF(R12=0,"no data", AVERAGE(R12:R18))</f>
        <v>3425.5714285714284</v>
      </c>
      <c r="S45" s="139">
        <f>IF(S12=0,"no data", AVERAGE(S12:S18))</f>
        <v>2987.2857142857142</v>
      </c>
      <c r="T45" s="139">
        <f>IF(T12=0,"no data", AVERAGE(T12:T18))</f>
        <v>2987.2857142857142</v>
      </c>
      <c r="U45" s="139">
        <f>IF(U12=0,"no data", SUM(U12:U18))</f>
        <v>20088</v>
      </c>
      <c r="V45" s="139">
        <f>IF(V12=0,"no data", SUM(V12:V18))</f>
        <v>20780</v>
      </c>
      <c r="W45" s="139">
        <f>IF(W12=0,"no data", AVERAGE(W12:W18))</f>
        <v>41.428571428571431</v>
      </c>
      <c r="X45" s="140">
        <f>IF(AND(X12=0,X13=0,X14=0,X15=0,X16=0,X17=0,X18=0),"No outage",SUM(X12:X18))</f>
        <v>157</v>
      </c>
      <c r="Y45" s="139">
        <f>IF(Y12=0,"no data", AVERAGE(Y12:Y18))</f>
        <v>43.142857142857146</v>
      </c>
      <c r="Z45" s="140">
        <f>IF(AND(Z12=0,Z13=0,Z14=0,Z15=0,Z16=0,Z17=0,Z18=0),"No outage",SUM(Z12:Z18))</f>
        <v>92</v>
      </c>
      <c r="AA45" s="132">
        <f>IF(AND(AB12=0,AB13=0,AB14=0,AB15=0,AB16=0, AB17=0,AB18=0),"No outage",SUM(AB12:AB18))</f>
        <v>126</v>
      </c>
      <c r="AB45" s="132">
        <f>IF(AA6=12,"no data", AVERAGE(AA12:AA18))</f>
        <v>57</v>
      </c>
      <c r="AC45" s="139">
        <f>IF(AC12=0,"no data", SUM(AC12:AC18))</f>
        <v>694</v>
      </c>
      <c r="AD45" s="139">
        <f>IF(AD12=0,"no data", SUM(AD12:AD18))</f>
        <v>-823</v>
      </c>
      <c r="AE45" s="139">
        <f t="shared" ref="AE45:AJ45" si="36">IF(AE12=0,"no data", AVERAGE(AE12:AE18))</f>
        <v>129.14285714285714</v>
      </c>
      <c r="AF45" s="141">
        <f t="shared" si="36"/>
        <v>0.95909626716337526</v>
      </c>
      <c r="AG45" s="139">
        <f t="shared" si="36"/>
        <v>142.73214285714286</v>
      </c>
      <c r="AH45" s="141">
        <f t="shared" si="36"/>
        <v>0.8377219237438408</v>
      </c>
      <c r="AI45" s="141">
        <f t="shared" si="36"/>
        <v>0.98761178180192266</v>
      </c>
      <c r="AJ45" s="141">
        <f t="shared" si="36"/>
        <v>0.85616861017482826</v>
      </c>
      <c r="AK45" s="142">
        <f>IF(AK12=0,"no data",SUM(AK12:AK18))</f>
        <v>62.027999999999999</v>
      </c>
      <c r="AL45" s="143">
        <f>IF(AL12=0,"no data", AVERAGE(AL12:AL18))</f>
        <v>152.31285714285713</v>
      </c>
      <c r="AM45" s="140">
        <f>AK45*AL45</f>
        <v>9447.6619028571422</v>
      </c>
      <c r="AN45" s="140">
        <f>IF(AN12=0,"no data", SUM(AN12:AN18))</f>
        <v>166.60361999999998</v>
      </c>
      <c r="AO45" s="142">
        <f>IF(AO12=0,"no data",AVERAGE(AO12:AO18))</f>
        <v>989.61300561350333</v>
      </c>
      <c r="AP45" s="140">
        <f>AN45*AO45</f>
        <v>164873.10913428996</v>
      </c>
      <c r="AQ45" s="144">
        <f>IF(AQ12=0,"no data", AVERAGE(AQ12:AQ18))</f>
        <v>8677.0224835974423</v>
      </c>
      <c r="AR45" s="135"/>
      <c r="AS45" s="136"/>
      <c r="BA45" s="113"/>
      <c r="BC45" s="114"/>
      <c r="BS45" s="5"/>
      <c r="BT45" s="5"/>
      <c r="BU45" s="6"/>
    </row>
    <row r="46" spans="1:84">
      <c r="A46" s="145"/>
      <c r="B46" s="127" t="s">
        <v>219</v>
      </c>
      <c r="C46" s="140">
        <f>IF(C19=0,"no data", AVERAGE(C19:C25))</f>
        <v>96.428571428571431</v>
      </c>
      <c r="D46" s="138">
        <f>IF(D19=0,"no data", AVERAGE(D19:D25))</f>
        <v>0.53285714285714281</v>
      </c>
      <c r="E46" s="140">
        <f>IF(E19=0,"no data", AVERAGE(E19:E25))</f>
        <v>76.271428571428572</v>
      </c>
      <c r="F46" s="140">
        <f>IF(F19=0,"no data", AVERAGE(F19:F25))</f>
        <v>105</v>
      </c>
      <c r="G46" s="140">
        <f>IF(G19=0,"no data", AVERAGE(G19:G25))</f>
        <v>88.142857142857139</v>
      </c>
      <c r="H46" s="137">
        <f>SUM(H19:H25)+INT(SUM(I19:I25)/60)</f>
        <v>159</v>
      </c>
      <c r="I46" s="137">
        <f>SUM(I19:I25)-INT(SUM(I25:I25)/60)*60</f>
        <v>9</v>
      </c>
      <c r="J46" s="137">
        <f>SUM(J19:J25)+INT(SUM(K19:K25)/60)</f>
        <v>168</v>
      </c>
      <c r="K46" s="137">
        <f>SUM(K19:K25)-INT(SUM(K19:K25)/60)*60</f>
        <v>0</v>
      </c>
      <c r="L46" s="137">
        <f>SUM(L19:L25)+INT(SUM(M19:M25)/60)</f>
        <v>7</v>
      </c>
      <c r="M46" s="137">
        <f>SUM(M19:M25)-INT(SUM(M19:M25)/60)*60</f>
        <v>59</v>
      </c>
      <c r="N46" s="137">
        <f>SUM(N19:N25)+INT(SUM(O19:O25)/60)</f>
        <v>0</v>
      </c>
      <c r="O46" s="137">
        <f>SUM(O19:O25)-INT(SUM(O19:O25)/60)*60</f>
        <v>0</v>
      </c>
      <c r="P46" s="137">
        <f>SUM(P19:P25)+INT(SUM(Q19:Q25)/60)</f>
        <v>0</v>
      </c>
      <c r="Q46" s="137">
        <f>SUM(Q19:Q25)-INT(SUM(Q19:Q25)/60)*60</f>
        <v>0</v>
      </c>
      <c r="R46" s="139">
        <f>IF(R19=0,"no data", AVERAGE(R19:R25))</f>
        <v>3414.1428571428573</v>
      </c>
      <c r="S46" s="139">
        <f>IF(S19=0,"no data", AVERAGE(S19:S25))</f>
        <v>2989.2857142857142</v>
      </c>
      <c r="T46" s="139">
        <f>IF(T19=0,"no data", AVERAGE(T19:T25))</f>
        <v>2894.5714285714284</v>
      </c>
      <c r="U46" s="146">
        <f>IF(U19=0,"no data", SUM(U19:U25))</f>
        <v>19546</v>
      </c>
      <c r="V46" s="146">
        <f>IF(V19=0,"no data", SUM(V19:V25))</f>
        <v>20242</v>
      </c>
      <c r="W46" s="146">
        <f>IF(W19=0,"no data", AVERAGE(W19:W25))</f>
        <v>41</v>
      </c>
      <c r="X46" s="140" t="str">
        <f>IF(AND(X19=0,X20=0,X21=0,X22=0,X23=0,X24=0,X25=0),"No outage",SUM(X19:X25))</f>
        <v>No outage</v>
      </c>
      <c r="Y46" s="146">
        <f>IF(Y19=0,"no data", AVERAGE(Y19:Y25))</f>
        <v>42.714285714285715</v>
      </c>
      <c r="Z46" s="140" t="str">
        <f>IF(AND(Z19=0,Z20=0,Z21=0,Z22=0,Z23=0,Z24=0,Z25=0),"No outage",SUM(Z19:Z25))</f>
        <v>No outage</v>
      </c>
      <c r="AA46" s="132" t="str">
        <f>IF(AND(AB19=0,AB20=0,AB21=0,AB22=0,AB23=0, AB24=0,AB25=0),"No outage",SUM(AB19:AB25))</f>
        <v>No outage</v>
      </c>
      <c r="AB46" s="132">
        <f>IF(AA19=0,"no data", AVERAGE(AA19:AA25))</f>
        <v>57</v>
      </c>
      <c r="AC46" s="140">
        <f>IF(AC19=0,"no data", SUM(AC19:AC25))</f>
        <v>696</v>
      </c>
      <c r="AD46" s="146">
        <f>IF(AD19=0,"no data", SUM(AD19:AD25))</f>
        <v>-716</v>
      </c>
      <c r="AE46" s="140">
        <f t="shared" ref="AE46:AJ46" si="37">IF(AE19=0,"no data", AVERAGE(AE19:AE25))</f>
        <v>126.28571428571429</v>
      </c>
      <c r="AF46" s="141">
        <f t="shared" si="37"/>
        <v>0.95404465810821271</v>
      </c>
      <c r="AG46" s="140">
        <f t="shared" si="37"/>
        <v>142.25595238095238</v>
      </c>
      <c r="AH46" s="141">
        <f t="shared" si="37"/>
        <v>0.81756569349008734</v>
      </c>
      <c r="AI46" s="141">
        <f t="shared" si="37"/>
        <v>1</v>
      </c>
      <c r="AJ46" s="141">
        <f t="shared" si="37"/>
        <v>0.87354909457872976</v>
      </c>
      <c r="AK46" s="140">
        <f>IF(AK19=0,"no data", SUM(AK19:AK25))</f>
        <v>64.369</v>
      </c>
      <c r="AL46" s="140">
        <f>IF(AL19=0,"no data", AVERAGE(AL19:AL25))</f>
        <v>152.12142857142857</v>
      </c>
      <c r="AM46" s="140">
        <f>AK46*AL46</f>
        <v>9791.9042357142862</v>
      </c>
      <c r="AN46" s="140">
        <f>IF(AN19=0,"no data", SUM(AN19:AN24))</f>
        <v>142.50985</v>
      </c>
      <c r="AO46" s="140">
        <f>IF(AO19=0,"no data", AVERAGE(AO19:AO24))</f>
        <v>993.2098166666666</v>
      </c>
      <c r="AP46" s="140">
        <f>AN46*AO46</f>
        <v>141542.18199169415</v>
      </c>
      <c r="AQ46" s="144">
        <f>IF(AQ19=0,"no data", AVERAGE(AQ19:AQ25))</f>
        <v>8709.2427655393876</v>
      </c>
      <c r="AR46" s="135"/>
      <c r="AS46" s="136"/>
      <c r="AT46" s="145"/>
      <c r="AU46" s="145"/>
      <c r="AV46" s="145"/>
      <c r="AW46" s="145"/>
      <c r="AY46" s="145"/>
      <c r="AZ46" s="145"/>
      <c r="BA46" s="113"/>
      <c r="BB46" s="145"/>
      <c r="BC46" s="114"/>
      <c r="BD46" s="145"/>
      <c r="BE46" s="145"/>
      <c r="BF46" s="145"/>
      <c r="BG46" s="145"/>
      <c r="BS46" s="5"/>
      <c r="BT46" s="5"/>
      <c r="BU46" s="6"/>
    </row>
    <row r="47" spans="1:84">
      <c r="B47" s="127" t="s">
        <v>220</v>
      </c>
      <c r="C47" s="140">
        <f>IF(C26=0,"no data", AVERAGE(C26:C32))</f>
        <v>93.345714285714294</v>
      </c>
      <c r="D47" s="140">
        <f>IF(D26=0,"no data", AVERAGE(D26:D32))</f>
        <v>0.5477428571428572</v>
      </c>
      <c r="E47" s="140">
        <f>IF(E26=0,"no data", AVERAGE(E26:E32))</f>
        <v>74.751428571428576</v>
      </c>
      <c r="F47" s="140">
        <f>IF(F26=0,"no data", AVERAGE(F26:F32))</f>
        <v>104.42857142857143</v>
      </c>
      <c r="G47" s="140">
        <f>IF(G26=0,"no data", AVERAGE(G26:G32))</f>
        <v>82.428571428571431</v>
      </c>
      <c r="H47" s="137">
        <f>SUM(H26:H32)+INT(SUM(I26:I32)/60)</f>
        <v>122</v>
      </c>
      <c r="I47" s="137">
        <f>SUM(I26:I32)-INT(SUM(I26:I32)/60)*60</f>
        <v>29</v>
      </c>
      <c r="J47" s="137">
        <f>SUM(J26:J32)+INT(SUM(K26:K32)/60)</f>
        <v>136</v>
      </c>
      <c r="K47" s="137">
        <f>SUM(K26:K32)-INT(SUM(K26:K32)/60)*60</f>
        <v>5</v>
      </c>
      <c r="L47" s="137">
        <f>SUM(L26:L32)+INT(SUM(M26:M32)/60)</f>
        <v>43</v>
      </c>
      <c r="M47" s="137">
        <f>SUM(M26:M32)-INT(SUM(M26:M32)/60)*60</f>
        <v>36</v>
      </c>
      <c r="N47" s="137">
        <f>SUM(N26:N32)+INT(SUM(O26:O32)/60)</f>
        <v>29</v>
      </c>
      <c r="O47" s="137">
        <f>SUM(O26:O32)-INT(SUM(O26:O32)/60)*60</f>
        <v>41</v>
      </c>
      <c r="P47" s="137">
        <f>SUM(P26:P32)+INT(SUM(Q26:Q32)/60)</f>
        <v>0</v>
      </c>
      <c r="Q47" s="137">
        <f>SUM(Q26:Q32)-INT(SUM(Q26:Q32)/60)*60</f>
        <v>0</v>
      </c>
      <c r="R47" s="139">
        <f>IF(R26=0,"no data", AVERAGE(R26:R32))</f>
        <v>3463.4285714285716</v>
      </c>
      <c r="S47" s="139">
        <f>IF(S26=0,"no data", AVERAGE(S26:S32))</f>
        <v>3108.4285714285716</v>
      </c>
      <c r="T47" s="139">
        <f>IF(T26=0,"no data", AVERAGE(T26:T32))</f>
        <v>2318.5714285714284</v>
      </c>
      <c r="U47" s="139">
        <f>IF(U26=0,"no data", SUM(U26:U32))</f>
        <v>15862</v>
      </c>
      <c r="V47" s="139">
        <f>IF(V26=0,"no data", SUM(V26:V32))</f>
        <v>16432</v>
      </c>
      <c r="W47" s="146">
        <f>IF(W26=0,"no data", AVERAGE(W26:W32))</f>
        <v>41.285714285714285</v>
      </c>
      <c r="X47" s="140" t="str">
        <f>IF(AND(X26=0,X27=0,X28=0,X29=0,X30=0,X31=0,X32=0),"No outage",SUM(X26:X32))</f>
        <v>No outage</v>
      </c>
      <c r="Y47" s="146">
        <f>IF(Y26=0,"no data", AVERAGE(Y26:Y32))</f>
        <v>43.428571428571431</v>
      </c>
      <c r="Z47" s="140" t="str">
        <f>IF(AND(Z26=0,Z27=0,Z28=0,Z29=0,Z30=0,Z31=0,Z32=0),"No outage",SUM(Z26:Z32))</f>
        <v>No outage</v>
      </c>
      <c r="AA47" s="140">
        <f>IF(AND(AA26=0,AA27=0,AA28=0,AA29=0,AA30=0,AA31=0,AA32=0),"No outage",SUM(AA26:AA32))</f>
        <v>399</v>
      </c>
      <c r="AB47" s="132">
        <f>IF(AA26=0,"no data", AVERAGE(AA26:AA32))</f>
        <v>57</v>
      </c>
      <c r="AC47" s="139">
        <f>IF(AC26=0,"no data", SUM(AC26:AC32))</f>
        <v>598</v>
      </c>
      <c r="AD47" s="139">
        <f>IF(AD26=0,"no data", SUM(AD26:AD32))</f>
        <v>-368</v>
      </c>
      <c r="AE47" s="146">
        <f t="shared" ref="AE47:AJ47" si="38">IF(AE26=0,"no data", AVERAGE(AE26:AE32))</f>
        <v>127.57142857142857</v>
      </c>
      <c r="AF47" s="138">
        <f t="shared" si="38"/>
        <v>0.76379818810478317</v>
      </c>
      <c r="AG47" s="140">
        <f t="shared" si="38"/>
        <v>144.30952380952382</v>
      </c>
      <c r="AH47" s="138">
        <f t="shared" si="38"/>
        <v>0.65565469087282757</v>
      </c>
      <c r="AI47" s="138">
        <f t="shared" si="38"/>
        <v>1</v>
      </c>
      <c r="AJ47" s="138">
        <f t="shared" si="38"/>
        <v>0.89579710098888998</v>
      </c>
      <c r="AK47" s="139">
        <f>IF(AK26=0,"no data", SUM(AK26:AK32))</f>
        <v>52.237000000000002</v>
      </c>
      <c r="AL47" s="140">
        <f>IF(AL26=0,"no data", AVERAGE(AL26:AL32))</f>
        <v>154.23285714285717</v>
      </c>
      <c r="AM47" s="140">
        <f>AK47*AL47</f>
        <v>8056.6617585714303</v>
      </c>
      <c r="AN47" s="140">
        <f>IF(AN26=0,"no data", SUM(AN26:AN32))</f>
        <v>131.01900000000001</v>
      </c>
      <c r="AO47" s="140">
        <f>IF(AO26=0,"no data", AVERAGE(AO26:AO32))</f>
        <v>998.33259999999996</v>
      </c>
      <c r="AP47" s="140">
        <f>AN47*AO47</f>
        <v>130800.5389194</v>
      </c>
      <c r="AQ47" s="144">
        <f>IF(AQ26=0,"no data", AVERAGE(AQ26:AQ32))</f>
        <v>8783.446965805475</v>
      </c>
      <c r="AR47" s="135"/>
      <c r="AS47" s="136"/>
      <c r="BA47" s="113"/>
      <c r="BC47" s="114"/>
      <c r="BS47" s="5"/>
      <c r="BT47" s="5"/>
      <c r="BU47" s="6"/>
    </row>
    <row r="48" spans="1:84">
      <c r="B48" s="127" t="s">
        <v>221</v>
      </c>
      <c r="C48" s="140" t="e">
        <f>IF(#REF!=0,"no data", AVERAGE(#REF!))</f>
        <v>#REF!</v>
      </c>
      <c r="D48" s="140" t="e">
        <f>IF(#REF!=0,"no data", AVERAGE(#REF!))</f>
        <v>#REF!</v>
      </c>
      <c r="E48" s="140" t="e">
        <f>IF(#REF!=0,"no data", AVERAGE(#REF!))</f>
        <v>#REF!</v>
      </c>
      <c r="F48" s="140" t="e">
        <f>IF(#REF!=0,"no data", AVERAGE(#REF!))</f>
        <v>#REF!</v>
      </c>
      <c r="G48" s="140" t="e">
        <f>IF(#REF!=0,"no data", AVERAGE(#REF!))</f>
        <v>#REF!</v>
      </c>
      <c r="H48" s="137" t="e">
        <f>SUM(#REF!)+INT(SUM(#REF!)/60)</f>
        <v>#REF!</v>
      </c>
      <c r="I48" s="137" t="e">
        <f>SUM(#REF!)-INT(SUM(#REF!)/60)*60</f>
        <v>#REF!</v>
      </c>
      <c r="J48" s="137" t="e">
        <f>SUM(#REF!)+INT(SUM(#REF!)/60)</f>
        <v>#REF!</v>
      </c>
      <c r="K48" s="137" t="e">
        <f>SUM(#REF!)-INT(SUM(#REF!)/60)*60</f>
        <v>#REF!</v>
      </c>
      <c r="L48" s="137" t="e">
        <f>SUM(#REF!)+INT(SUM(#REF!)/60)</f>
        <v>#REF!</v>
      </c>
      <c r="M48" s="137" t="e">
        <f>SUM(#REF!)-INT(SUM(#REF!)/60)*60</f>
        <v>#REF!</v>
      </c>
      <c r="N48" s="137" t="e">
        <f>SUM(#REF!)+INT(SUM(#REF!)/60)</f>
        <v>#REF!</v>
      </c>
      <c r="O48" s="137" t="e">
        <f>SUM(#REF!)-INT(SUM(#REF!)/60)*60</f>
        <v>#REF!</v>
      </c>
      <c r="P48" s="137" t="e">
        <f>SUM(#REF!)+INT(SUM(#REF!)/60)</f>
        <v>#REF!</v>
      </c>
      <c r="Q48" s="137" t="e">
        <f>SUM(#REF!)-INT(SUM(#REF!)/60)*60</f>
        <v>#REF!</v>
      </c>
      <c r="R48" s="139" t="e">
        <f>IF(#REF!=0,"no data", AVERAGE(#REF!))</f>
        <v>#REF!</v>
      </c>
      <c r="S48" s="139" t="e">
        <f>IF(#REF!=0,"no data", AVERAGE(#REF!))</f>
        <v>#REF!</v>
      </c>
      <c r="T48" s="139" t="e">
        <f>IF(#REF!=0,"no data", AVERAGE(#REF!))</f>
        <v>#REF!</v>
      </c>
      <c r="U48" s="139" t="e">
        <f>IF(#REF!=0,"no data", SUM(#REF!))</f>
        <v>#REF!</v>
      </c>
      <c r="V48" s="139" t="e">
        <f>IF(#REF!=0,"no data", SUM(#REF!))</f>
        <v>#REF!</v>
      </c>
      <c r="W48" s="146" t="e">
        <f>IF(#REF!=0,"no data", AVERAGE(#REF!))</f>
        <v>#REF!</v>
      </c>
      <c r="X48" s="140" t="e">
        <f>IF(AND(#REF!=0,#REF!=0,#REF!=0,#REF!=0,#REF!=0,#REF!=0,#REF!=0),"No outage",SUM(#REF!))</f>
        <v>#REF!</v>
      </c>
      <c r="Y48" s="146" t="e">
        <f>IF(#REF!=0,"no data", AVERAGE(#REF!))</f>
        <v>#REF!</v>
      </c>
      <c r="Z48" s="140" t="e">
        <f>IF(AND(#REF!=0,#REF!=0,#REF!=0,#REF!=0,#REF!=0,#REF!=0,#REF!=0),"No outage",SUM(#REF!))</f>
        <v>#REF!</v>
      </c>
      <c r="AA48" s="140" t="e">
        <f>IF(AND(#REF!=0,#REF!=0,#REF!=0,#REF!=0,#REF!=0,#REF!=0,#REF!=0),"No outage",SUM(#REF!))</f>
        <v>#REF!</v>
      </c>
      <c r="AB48" s="132" t="e">
        <f>IF(#REF!=0,"no data", AVERAGE(#REF!))</f>
        <v>#REF!</v>
      </c>
      <c r="AC48" s="139" t="e">
        <f>IF(#REF!=0,"no data", SUM(#REF!))</f>
        <v>#REF!</v>
      </c>
      <c r="AD48" s="139" t="e">
        <f>IF(#REF!=0,"no data", SUM(#REF!))</f>
        <v>#REF!</v>
      </c>
      <c r="AE48" s="146" t="e">
        <f>IF(#REF!=0,"no data", AVERAGE(#REF!))</f>
        <v>#REF!</v>
      </c>
      <c r="AF48" s="138" t="e">
        <f>IF(#REF!=0,"no data", AVERAGE(#REF!))</f>
        <v>#REF!</v>
      </c>
      <c r="AG48" s="140" t="e">
        <f>IF(#REF!=0,"no data", AVERAGE(#REF!))</f>
        <v>#REF!</v>
      </c>
      <c r="AH48" s="138" t="e">
        <f>IF(#REF!=0,"no data", AVERAGE(#REF!))</f>
        <v>#REF!</v>
      </c>
      <c r="AI48" s="138" t="e">
        <f>IF(AI27=0,"no data", AVERAGE(#REF!))</f>
        <v>#REF!</v>
      </c>
      <c r="AJ48" s="138" t="e">
        <f>IF(#REF!=0,"no data", AVERAGE(#REF!))</f>
        <v>#REF!</v>
      </c>
      <c r="AK48" s="139" t="e">
        <f>IF(#REF!=0,"no data", SUM(#REF!))</f>
        <v>#REF!</v>
      </c>
      <c r="AL48" s="140" t="e">
        <f>IF(#REF!=0,"no data", AVERAGE(#REF!))</f>
        <v>#REF!</v>
      </c>
      <c r="AM48" s="140" t="e">
        <f>AK48*AL48</f>
        <v>#REF!</v>
      </c>
      <c r="AN48" s="140" t="e">
        <f>IF(#REF!=0,"no data", SUM(#REF!))</f>
        <v>#REF!</v>
      </c>
      <c r="AO48" s="140" t="e">
        <f>IF(#REF!=0,"no data", AVERAGE(#REF!))</f>
        <v>#REF!</v>
      </c>
      <c r="AP48" s="140" t="e">
        <f>AN48*AO48</f>
        <v>#REF!</v>
      </c>
      <c r="AQ48" s="140" t="e">
        <f>IF(#REF!=0,"no data", AVERAGE(#REF!))</f>
        <v>#REF!</v>
      </c>
      <c r="AR48" s="135"/>
      <c r="AS48" s="136"/>
      <c r="BA48" s="113"/>
      <c r="BC48" s="114"/>
      <c r="BS48" s="5"/>
      <c r="BT48" s="5"/>
      <c r="BU48" s="6"/>
    </row>
    <row r="49" spans="2:73">
      <c r="B49" s="147"/>
      <c r="C49" s="148"/>
      <c r="D49" s="148"/>
      <c r="E49" s="148"/>
      <c r="F49" s="148"/>
      <c r="G49" s="149"/>
      <c r="H49" s="149"/>
      <c r="I49" s="149"/>
      <c r="J49" s="149"/>
      <c r="K49" s="150"/>
      <c r="L49" s="150"/>
      <c r="M49" s="150"/>
      <c r="N49" s="150"/>
      <c r="O49" s="151"/>
      <c r="P49" s="151"/>
      <c r="Q49" s="148"/>
      <c r="R49" s="148"/>
      <c r="S49" s="148"/>
      <c r="T49" s="148"/>
      <c r="U49" s="148"/>
      <c r="V49" s="148"/>
      <c r="W49" s="148"/>
      <c r="X49" s="148"/>
      <c r="Y49" s="148"/>
      <c r="Z49" s="148"/>
      <c r="AA49" s="148"/>
      <c r="AB49" s="148"/>
      <c r="AC49" s="151"/>
      <c r="AD49" s="151"/>
      <c r="AE49" s="148"/>
      <c r="AF49" s="151"/>
      <c r="AG49" s="151"/>
      <c r="AH49" s="148"/>
      <c r="AI49" s="148"/>
      <c r="AJ49" s="148"/>
      <c r="AK49" s="148"/>
      <c r="AL49" s="148"/>
      <c r="AM49" s="148"/>
      <c r="AQ49" s="126"/>
      <c r="AR49" s="126"/>
      <c r="AS49" s="126"/>
      <c r="AT49" s="126"/>
      <c r="BA49" s="113"/>
      <c r="BC49" s="114"/>
      <c r="BS49" s="5"/>
      <c r="BT49" s="5"/>
      <c r="BU49" s="6"/>
    </row>
    <row r="50" spans="2:73" ht="15.75" thickBot="1">
      <c r="B50" s="147"/>
      <c r="C50" s="148"/>
      <c r="D50" s="148"/>
      <c r="E50" s="148"/>
      <c r="F50" s="148"/>
      <c r="G50" s="149"/>
      <c r="H50" s="149"/>
      <c r="I50" s="149"/>
      <c r="J50" s="149"/>
      <c r="K50" s="150"/>
      <c r="L50" s="150"/>
      <c r="M50" s="150"/>
      <c r="N50" s="150"/>
      <c r="O50" s="151"/>
      <c r="P50" s="151"/>
      <c r="Q50" s="148"/>
      <c r="R50" s="148"/>
      <c r="S50" s="148"/>
      <c r="T50" s="148"/>
      <c r="U50" s="148"/>
      <c r="V50" s="148"/>
      <c r="W50" s="148"/>
      <c r="X50" s="148"/>
      <c r="Y50" s="148"/>
      <c r="Z50" s="148"/>
      <c r="AA50" s="148"/>
      <c r="AB50" s="148"/>
      <c r="AC50" s="151"/>
      <c r="AD50" s="151"/>
      <c r="AE50" s="148"/>
      <c r="AF50" s="151"/>
      <c r="AG50" s="151"/>
      <c r="AH50" s="148"/>
      <c r="AI50" s="148"/>
      <c r="AJ50" s="148"/>
      <c r="AK50" s="148"/>
      <c r="AL50" s="148"/>
      <c r="AM50" s="148"/>
      <c r="AQ50" s="126"/>
      <c r="AR50" s="126"/>
      <c r="AS50" s="126"/>
      <c r="AT50" s="126"/>
      <c r="BA50" s="113"/>
      <c r="BC50" s="114"/>
      <c r="BS50" s="5"/>
      <c r="BT50" s="5"/>
      <c r="BU50" s="6"/>
    </row>
    <row r="51" spans="2:73" ht="16.5" thickTop="1">
      <c r="B51" s="152" t="s">
        <v>121</v>
      </c>
      <c r="C51" s="430" t="s">
        <v>122</v>
      </c>
      <c r="D51" s="431"/>
      <c r="E51" s="431"/>
      <c r="F51" s="431"/>
      <c r="G51" s="431"/>
      <c r="H51" s="431"/>
      <c r="I51" s="431"/>
      <c r="J51" s="431"/>
      <c r="K51" s="431"/>
      <c r="L51" s="431"/>
      <c r="M51" s="431"/>
      <c r="N51" s="431"/>
      <c r="O51" s="431"/>
      <c r="P51" s="431"/>
      <c r="Q51" s="431"/>
      <c r="R51" s="431"/>
      <c r="S51" s="431"/>
      <c r="T51" s="431"/>
      <c r="U51" s="431"/>
      <c r="V51" s="431"/>
      <c r="W51" s="431"/>
      <c r="X51" s="431"/>
      <c r="Y51" s="431"/>
      <c r="Z51" s="431"/>
      <c r="AA51" s="431"/>
      <c r="AB51" s="431"/>
      <c r="AC51" s="431"/>
      <c r="AD51" s="431"/>
      <c r="AE51" s="432"/>
      <c r="AF51" s="151"/>
      <c r="AG51" s="151"/>
      <c r="AH51" s="148"/>
      <c r="AI51" s="148"/>
      <c r="AJ51" s="148"/>
      <c r="AK51" s="148"/>
      <c r="AL51" s="148"/>
      <c r="AM51" s="148"/>
      <c r="AQ51" s="126"/>
      <c r="AR51" s="126"/>
      <c r="AS51" s="126"/>
      <c r="AT51" s="126"/>
      <c r="BA51" s="113"/>
      <c r="BS51" s="5"/>
      <c r="BT51" s="5"/>
      <c r="BU51" s="6"/>
    </row>
    <row r="52" spans="2:73" ht="15.75">
      <c r="B52" s="153">
        <v>43252</v>
      </c>
      <c r="C52" s="416" t="s">
        <v>222</v>
      </c>
      <c r="D52" s="417"/>
      <c r="E52" s="417"/>
      <c r="F52" s="417"/>
      <c r="G52" s="417"/>
      <c r="H52" s="417"/>
      <c r="I52" s="417"/>
      <c r="J52" s="417"/>
      <c r="K52" s="417"/>
      <c r="L52" s="417"/>
      <c r="M52" s="417"/>
      <c r="N52" s="417"/>
      <c r="O52" s="417"/>
      <c r="P52" s="417"/>
      <c r="Q52" s="417"/>
      <c r="R52" s="417"/>
      <c r="S52" s="417"/>
      <c r="T52" s="417"/>
      <c r="U52" s="417"/>
      <c r="V52" s="417"/>
      <c r="W52" s="417"/>
      <c r="X52" s="417"/>
      <c r="Y52" s="417"/>
      <c r="Z52" s="417"/>
      <c r="AA52" s="417"/>
      <c r="AB52" s="417"/>
      <c r="AC52" s="417"/>
      <c r="AD52" s="417"/>
      <c r="AE52" s="418"/>
      <c r="AF52" s="151"/>
      <c r="AG52" s="151"/>
      <c r="AH52" s="148"/>
      <c r="AI52" s="148"/>
      <c r="AJ52" s="148"/>
      <c r="AK52" s="148"/>
      <c r="AL52" s="148"/>
      <c r="AM52" s="148"/>
      <c r="AQ52" s="126"/>
      <c r="AR52" s="126"/>
      <c r="AS52" s="126"/>
      <c r="AT52" s="126"/>
      <c r="BA52" s="113"/>
      <c r="BS52" s="5"/>
      <c r="BT52" s="5"/>
      <c r="BU52" s="6"/>
    </row>
    <row r="53" spans="2:73" ht="15.75">
      <c r="B53" s="153">
        <v>43253</v>
      </c>
      <c r="C53" s="416" t="s">
        <v>216</v>
      </c>
      <c r="D53" s="417"/>
      <c r="E53" s="417"/>
      <c r="F53" s="417"/>
      <c r="G53" s="417"/>
      <c r="H53" s="417"/>
      <c r="I53" s="417"/>
      <c r="J53" s="417"/>
      <c r="K53" s="417"/>
      <c r="L53" s="417"/>
      <c r="M53" s="417"/>
      <c r="N53" s="417"/>
      <c r="O53" s="417"/>
      <c r="P53" s="417"/>
      <c r="Q53" s="417"/>
      <c r="R53" s="417"/>
      <c r="S53" s="417"/>
      <c r="T53" s="417"/>
      <c r="U53" s="417"/>
      <c r="V53" s="417"/>
      <c r="W53" s="417"/>
      <c r="X53" s="417"/>
      <c r="Y53" s="417"/>
      <c r="Z53" s="417"/>
      <c r="AA53" s="417"/>
      <c r="AB53" s="417"/>
      <c r="AC53" s="417"/>
      <c r="AD53" s="417"/>
      <c r="AE53" s="418"/>
      <c r="AF53" s="151"/>
      <c r="AG53" s="151"/>
      <c r="AH53" s="148"/>
      <c r="AI53" s="148"/>
      <c r="AJ53" s="148"/>
      <c r="AK53" s="148"/>
      <c r="AL53" s="148"/>
      <c r="AM53" s="148"/>
      <c r="AQ53" s="126"/>
      <c r="AR53" s="126"/>
      <c r="AS53" s="126"/>
      <c r="AT53" s="126"/>
      <c r="BA53" s="113"/>
      <c r="BS53" s="5"/>
      <c r="BT53" s="5"/>
      <c r="BU53" s="6"/>
    </row>
    <row r="54" spans="2:73" ht="15.75">
      <c r="B54" s="153">
        <v>43254</v>
      </c>
      <c r="C54" s="416" t="s">
        <v>223</v>
      </c>
      <c r="D54" s="417"/>
      <c r="E54" s="417"/>
      <c r="F54" s="417"/>
      <c r="G54" s="417"/>
      <c r="H54" s="417"/>
      <c r="I54" s="417"/>
      <c r="J54" s="417"/>
      <c r="K54" s="417"/>
      <c r="L54" s="417"/>
      <c r="M54" s="417"/>
      <c r="N54" s="417"/>
      <c r="O54" s="417"/>
      <c r="P54" s="417"/>
      <c r="Q54" s="417"/>
      <c r="R54" s="417"/>
      <c r="S54" s="417"/>
      <c r="T54" s="417"/>
      <c r="U54" s="417"/>
      <c r="V54" s="417"/>
      <c r="W54" s="417"/>
      <c r="X54" s="417"/>
      <c r="Y54" s="417"/>
      <c r="Z54" s="417"/>
      <c r="AA54" s="417"/>
      <c r="AB54" s="417"/>
      <c r="AC54" s="417"/>
      <c r="AD54" s="417"/>
      <c r="AE54" s="418"/>
      <c r="AF54" s="151"/>
      <c r="AG54" s="151"/>
      <c r="AH54" s="148"/>
      <c r="AI54" s="148"/>
      <c r="AJ54" s="148"/>
      <c r="AK54" s="148"/>
      <c r="AL54" s="148"/>
      <c r="AM54" s="148"/>
      <c r="AQ54" s="126"/>
      <c r="AR54" s="126"/>
      <c r="AS54" s="126"/>
      <c r="AT54" s="126"/>
      <c r="BA54" s="113"/>
      <c r="BS54" s="5"/>
      <c r="BT54" s="5"/>
      <c r="BU54" s="6"/>
    </row>
    <row r="55" spans="2:73" ht="15.75">
      <c r="B55" s="153">
        <v>43255</v>
      </c>
      <c r="C55" s="416" t="s">
        <v>224</v>
      </c>
      <c r="D55" s="417"/>
      <c r="E55" s="417"/>
      <c r="F55" s="417"/>
      <c r="G55" s="417"/>
      <c r="H55" s="417"/>
      <c r="I55" s="417"/>
      <c r="J55" s="417"/>
      <c r="K55" s="417"/>
      <c r="L55" s="417"/>
      <c r="M55" s="417"/>
      <c r="N55" s="417"/>
      <c r="O55" s="417"/>
      <c r="P55" s="417"/>
      <c r="Q55" s="417"/>
      <c r="R55" s="417"/>
      <c r="S55" s="417"/>
      <c r="T55" s="417"/>
      <c r="U55" s="417"/>
      <c r="V55" s="417"/>
      <c r="W55" s="417"/>
      <c r="X55" s="417"/>
      <c r="Y55" s="417"/>
      <c r="Z55" s="417"/>
      <c r="AA55" s="417"/>
      <c r="AB55" s="417"/>
      <c r="AC55" s="417"/>
      <c r="AD55" s="417"/>
      <c r="AE55" s="418"/>
      <c r="AF55" s="151"/>
      <c r="AG55" s="151"/>
      <c r="AH55" s="148"/>
      <c r="AI55" s="148"/>
      <c r="AJ55" s="148"/>
      <c r="AK55" s="148"/>
      <c r="AL55" s="148"/>
      <c r="AM55" s="148"/>
      <c r="AQ55" s="126"/>
      <c r="AR55" s="126"/>
      <c r="AS55" s="126"/>
      <c r="AT55" s="126"/>
      <c r="BA55" s="113"/>
      <c r="BS55" s="5"/>
      <c r="BT55" s="5"/>
      <c r="BU55" s="6"/>
    </row>
    <row r="56" spans="2:73" ht="15.75">
      <c r="B56" s="153">
        <v>43256</v>
      </c>
      <c r="C56" s="416" t="s">
        <v>225</v>
      </c>
      <c r="D56" s="417"/>
      <c r="E56" s="417"/>
      <c r="F56" s="417"/>
      <c r="G56" s="417"/>
      <c r="H56" s="417"/>
      <c r="I56" s="417"/>
      <c r="J56" s="417"/>
      <c r="K56" s="417"/>
      <c r="L56" s="417"/>
      <c r="M56" s="417"/>
      <c r="N56" s="417"/>
      <c r="O56" s="417"/>
      <c r="P56" s="417"/>
      <c r="Q56" s="417"/>
      <c r="R56" s="417"/>
      <c r="S56" s="417"/>
      <c r="T56" s="417"/>
      <c r="U56" s="417"/>
      <c r="V56" s="417"/>
      <c r="W56" s="417"/>
      <c r="X56" s="417"/>
      <c r="Y56" s="417"/>
      <c r="Z56" s="417"/>
      <c r="AA56" s="417"/>
      <c r="AB56" s="417"/>
      <c r="AC56" s="417"/>
      <c r="AD56" s="417"/>
      <c r="AE56" s="418"/>
      <c r="AF56" s="151"/>
      <c r="AG56" s="151"/>
      <c r="AH56" s="148"/>
      <c r="AI56" s="148"/>
      <c r="AJ56" s="148"/>
      <c r="AK56" s="148"/>
      <c r="AL56" s="148"/>
      <c r="AM56" s="148"/>
      <c r="AQ56" s="126"/>
      <c r="AR56" s="126"/>
      <c r="AS56" s="126"/>
      <c r="AT56" s="126"/>
      <c r="BA56" s="113"/>
      <c r="BS56" s="5"/>
      <c r="BT56" s="5"/>
      <c r="BU56" s="6"/>
    </row>
    <row r="57" spans="2:73" ht="15.75">
      <c r="B57" s="153">
        <v>43257</v>
      </c>
      <c r="C57" s="416" t="s">
        <v>226</v>
      </c>
      <c r="D57" s="417"/>
      <c r="E57" s="417"/>
      <c r="F57" s="417"/>
      <c r="G57" s="417"/>
      <c r="H57" s="417"/>
      <c r="I57" s="417"/>
      <c r="J57" s="417"/>
      <c r="K57" s="417"/>
      <c r="L57" s="417"/>
      <c r="M57" s="417"/>
      <c r="N57" s="417"/>
      <c r="O57" s="417"/>
      <c r="P57" s="417"/>
      <c r="Q57" s="417"/>
      <c r="R57" s="417"/>
      <c r="S57" s="417"/>
      <c r="T57" s="417"/>
      <c r="U57" s="417"/>
      <c r="V57" s="417"/>
      <c r="W57" s="417"/>
      <c r="X57" s="417"/>
      <c r="Y57" s="417"/>
      <c r="Z57" s="417"/>
      <c r="AA57" s="417"/>
      <c r="AB57" s="417"/>
      <c r="AC57" s="417"/>
      <c r="AD57" s="417"/>
      <c r="AE57" s="418"/>
      <c r="AF57" s="151"/>
      <c r="AG57" s="151"/>
      <c r="AH57" s="148"/>
      <c r="AI57" s="148"/>
      <c r="AJ57" s="148"/>
      <c r="AK57" s="148"/>
      <c r="AL57" s="148"/>
      <c r="AM57" s="148"/>
      <c r="AQ57" s="126"/>
      <c r="AR57" s="126"/>
      <c r="AS57" s="126"/>
      <c r="AT57" s="126"/>
      <c r="BA57" s="113"/>
      <c r="BS57" s="5"/>
      <c r="BT57" s="5"/>
      <c r="BU57" s="6"/>
    </row>
    <row r="58" spans="2:73" ht="15.75">
      <c r="B58" s="153">
        <v>43258</v>
      </c>
      <c r="C58" s="416" t="s">
        <v>227</v>
      </c>
      <c r="D58" s="417"/>
      <c r="E58" s="417"/>
      <c r="F58" s="417"/>
      <c r="G58" s="417"/>
      <c r="H58" s="417"/>
      <c r="I58" s="417"/>
      <c r="J58" s="417"/>
      <c r="K58" s="417"/>
      <c r="L58" s="417"/>
      <c r="M58" s="417"/>
      <c r="N58" s="417"/>
      <c r="O58" s="417"/>
      <c r="P58" s="417"/>
      <c r="Q58" s="417"/>
      <c r="R58" s="417"/>
      <c r="S58" s="417"/>
      <c r="T58" s="417"/>
      <c r="U58" s="417"/>
      <c r="V58" s="417"/>
      <c r="W58" s="417"/>
      <c r="X58" s="417"/>
      <c r="Y58" s="417"/>
      <c r="Z58" s="417"/>
      <c r="AA58" s="417"/>
      <c r="AB58" s="417"/>
      <c r="AC58" s="417"/>
      <c r="AD58" s="417"/>
      <c r="AE58" s="418"/>
      <c r="AF58" s="151"/>
      <c r="AG58" s="151"/>
      <c r="AH58" s="148"/>
      <c r="AI58" s="148"/>
      <c r="AJ58" s="148"/>
      <c r="AK58" s="148"/>
      <c r="AL58" s="148"/>
      <c r="AM58" s="148"/>
      <c r="AQ58" s="126"/>
      <c r="AR58" s="126"/>
      <c r="AS58" s="126"/>
      <c r="AT58" s="126"/>
      <c r="BA58" s="113"/>
      <c r="BS58" s="5"/>
      <c r="BT58" s="5"/>
      <c r="BU58" s="6"/>
    </row>
    <row r="59" spans="2:73" ht="15.75">
      <c r="B59" s="153">
        <v>43259</v>
      </c>
      <c r="C59" s="416" t="s">
        <v>228</v>
      </c>
      <c r="D59" s="417"/>
      <c r="E59" s="417"/>
      <c r="F59" s="417"/>
      <c r="G59" s="417"/>
      <c r="H59" s="417"/>
      <c r="I59" s="417"/>
      <c r="J59" s="417"/>
      <c r="K59" s="417"/>
      <c r="L59" s="417"/>
      <c r="M59" s="417"/>
      <c r="N59" s="417"/>
      <c r="O59" s="417"/>
      <c r="P59" s="417"/>
      <c r="Q59" s="417"/>
      <c r="R59" s="417"/>
      <c r="S59" s="417"/>
      <c r="T59" s="417"/>
      <c r="U59" s="417"/>
      <c r="V59" s="417"/>
      <c r="W59" s="417"/>
      <c r="X59" s="417"/>
      <c r="Y59" s="417"/>
      <c r="Z59" s="417"/>
      <c r="AA59" s="417"/>
      <c r="AB59" s="417"/>
      <c r="AC59" s="417"/>
      <c r="AD59" s="417"/>
      <c r="AE59" s="418"/>
      <c r="AF59" s="151"/>
      <c r="AG59" s="151"/>
      <c r="AH59" s="148"/>
      <c r="AI59" s="148"/>
      <c r="AJ59" s="148"/>
      <c r="AK59" s="148"/>
      <c r="AL59" s="148"/>
      <c r="AM59" s="148"/>
      <c r="AQ59" s="126"/>
      <c r="AR59" s="126"/>
      <c r="AS59" s="126"/>
      <c r="AT59" s="126"/>
      <c r="BA59" s="113"/>
      <c r="BS59" s="5"/>
      <c r="BT59" s="5"/>
      <c r="BU59" s="6"/>
    </row>
    <row r="60" spans="2:73" ht="15.75">
      <c r="B60" s="153">
        <v>43260</v>
      </c>
      <c r="C60" s="416" t="s">
        <v>223</v>
      </c>
      <c r="D60" s="417"/>
      <c r="E60" s="417"/>
      <c r="F60" s="417"/>
      <c r="G60" s="417"/>
      <c r="H60" s="417"/>
      <c r="I60" s="417"/>
      <c r="J60" s="417"/>
      <c r="K60" s="417"/>
      <c r="L60" s="417"/>
      <c r="M60" s="417"/>
      <c r="N60" s="417"/>
      <c r="O60" s="417"/>
      <c r="P60" s="417"/>
      <c r="Q60" s="417"/>
      <c r="R60" s="417"/>
      <c r="S60" s="417"/>
      <c r="T60" s="417"/>
      <c r="U60" s="417"/>
      <c r="V60" s="417"/>
      <c r="W60" s="417"/>
      <c r="X60" s="417"/>
      <c r="Y60" s="417"/>
      <c r="Z60" s="417"/>
      <c r="AA60" s="417"/>
      <c r="AB60" s="417"/>
      <c r="AC60" s="417"/>
      <c r="AD60" s="417"/>
      <c r="AE60" s="418"/>
      <c r="AF60" s="151"/>
      <c r="AG60" s="151"/>
      <c r="AH60" s="148"/>
      <c r="AI60" s="148"/>
      <c r="AJ60" s="148"/>
      <c r="AK60" s="148"/>
      <c r="AL60" s="148"/>
      <c r="AM60" s="148"/>
      <c r="AQ60" s="126"/>
      <c r="AR60" s="126"/>
      <c r="AS60" s="126"/>
      <c r="AT60" s="126"/>
      <c r="BA60" s="113"/>
      <c r="BS60" s="5"/>
      <c r="BT60" s="5"/>
      <c r="BU60" s="6"/>
    </row>
    <row r="61" spans="2:73" ht="15.75">
      <c r="B61" s="153">
        <v>43261</v>
      </c>
      <c r="C61" s="416" t="s">
        <v>229</v>
      </c>
      <c r="D61" s="417"/>
      <c r="E61" s="417"/>
      <c r="F61" s="417"/>
      <c r="G61" s="417"/>
      <c r="H61" s="417"/>
      <c r="I61" s="417"/>
      <c r="J61" s="417"/>
      <c r="K61" s="417"/>
      <c r="L61" s="417"/>
      <c r="M61" s="417"/>
      <c r="N61" s="417"/>
      <c r="O61" s="417"/>
      <c r="P61" s="417"/>
      <c r="Q61" s="417"/>
      <c r="R61" s="417"/>
      <c r="S61" s="417"/>
      <c r="T61" s="417"/>
      <c r="U61" s="417"/>
      <c r="V61" s="417"/>
      <c r="W61" s="417"/>
      <c r="X61" s="417"/>
      <c r="Y61" s="417"/>
      <c r="Z61" s="417"/>
      <c r="AA61" s="417"/>
      <c r="AB61" s="417"/>
      <c r="AC61" s="417"/>
      <c r="AD61" s="417"/>
      <c r="AE61" s="418"/>
      <c r="AF61" s="151"/>
      <c r="AG61" s="151"/>
      <c r="AH61" s="148"/>
      <c r="AI61" s="148"/>
      <c r="AJ61" s="148"/>
      <c r="AK61" s="148"/>
      <c r="AL61" s="148"/>
      <c r="AM61" s="148"/>
      <c r="AQ61" s="126"/>
      <c r="AR61" s="126"/>
      <c r="AS61" s="126"/>
      <c r="AT61" s="126"/>
      <c r="BA61" s="113"/>
      <c r="BS61" s="5"/>
      <c r="BT61" s="5"/>
      <c r="BU61" s="6"/>
    </row>
    <row r="62" spans="2:73" ht="15.75">
      <c r="B62" s="153">
        <v>43262</v>
      </c>
      <c r="C62" s="416" t="s">
        <v>230</v>
      </c>
      <c r="D62" s="417"/>
      <c r="E62" s="417"/>
      <c r="F62" s="417"/>
      <c r="G62" s="417"/>
      <c r="H62" s="417"/>
      <c r="I62" s="417"/>
      <c r="J62" s="417"/>
      <c r="K62" s="417"/>
      <c r="L62" s="417"/>
      <c r="M62" s="417"/>
      <c r="N62" s="417"/>
      <c r="O62" s="417"/>
      <c r="P62" s="417"/>
      <c r="Q62" s="417"/>
      <c r="R62" s="417"/>
      <c r="S62" s="417"/>
      <c r="T62" s="417"/>
      <c r="U62" s="417"/>
      <c r="V62" s="417"/>
      <c r="W62" s="417"/>
      <c r="X62" s="417"/>
      <c r="Y62" s="417"/>
      <c r="Z62" s="417"/>
      <c r="AA62" s="417"/>
      <c r="AB62" s="417"/>
      <c r="AC62" s="417"/>
      <c r="AD62" s="417"/>
      <c r="AE62" s="418"/>
      <c r="AF62" s="151"/>
      <c r="AG62" s="151"/>
      <c r="AH62" s="148"/>
      <c r="AI62" s="148"/>
      <c r="AJ62" s="148"/>
      <c r="AK62" s="148"/>
      <c r="AL62" s="148"/>
      <c r="AM62" s="148"/>
      <c r="AQ62" s="126"/>
      <c r="AR62" s="126"/>
      <c r="AS62" s="126"/>
      <c r="AT62" s="126"/>
      <c r="BA62" s="113"/>
      <c r="BS62" s="5"/>
      <c r="BT62" s="5"/>
      <c r="BU62" s="6"/>
    </row>
    <row r="63" spans="2:73" ht="15.75">
      <c r="B63" s="153">
        <v>43263</v>
      </c>
      <c r="C63" s="416" t="s">
        <v>231</v>
      </c>
      <c r="D63" s="417"/>
      <c r="E63" s="417"/>
      <c r="F63" s="417"/>
      <c r="G63" s="417"/>
      <c r="H63" s="417"/>
      <c r="I63" s="417"/>
      <c r="J63" s="417"/>
      <c r="K63" s="417"/>
      <c r="L63" s="417"/>
      <c r="M63" s="417"/>
      <c r="N63" s="417"/>
      <c r="O63" s="417"/>
      <c r="P63" s="417"/>
      <c r="Q63" s="417"/>
      <c r="R63" s="417"/>
      <c r="S63" s="417"/>
      <c r="T63" s="417"/>
      <c r="U63" s="417"/>
      <c r="V63" s="417"/>
      <c r="W63" s="417"/>
      <c r="X63" s="417"/>
      <c r="Y63" s="417"/>
      <c r="Z63" s="417"/>
      <c r="AA63" s="417"/>
      <c r="AB63" s="417"/>
      <c r="AC63" s="417"/>
      <c r="AD63" s="417"/>
      <c r="AE63" s="418"/>
      <c r="AF63" s="151"/>
      <c r="AG63" s="151"/>
      <c r="AH63" s="148"/>
      <c r="AI63" s="148"/>
      <c r="AJ63" s="148"/>
      <c r="AK63" s="148"/>
      <c r="AL63" s="148"/>
      <c r="AM63" s="148"/>
      <c r="AQ63" s="126"/>
      <c r="AR63" s="126"/>
      <c r="AS63" s="126"/>
      <c r="AT63" s="126"/>
      <c r="BA63" s="113"/>
      <c r="BS63" s="5"/>
      <c r="BT63" s="5"/>
      <c r="BU63" s="6"/>
    </row>
    <row r="64" spans="2:73" ht="15.75">
      <c r="B64" s="153">
        <v>43264</v>
      </c>
      <c r="C64" s="416" t="s">
        <v>232</v>
      </c>
      <c r="D64" s="417"/>
      <c r="E64" s="417"/>
      <c r="F64" s="417"/>
      <c r="G64" s="417"/>
      <c r="H64" s="417"/>
      <c r="I64" s="417"/>
      <c r="J64" s="417"/>
      <c r="K64" s="417"/>
      <c r="L64" s="417"/>
      <c r="M64" s="417"/>
      <c r="N64" s="417"/>
      <c r="O64" s="417"/>
      <c r="P64" s="417"/>
      <c r="Q64" s="417"/>
      <c r="R64" s="417"/>
      <c r="S64" s="417"/>
      <c r="T64" s="417"/>
      <c r="U64" s="417"/>
      <c r="V64" s="417"/>
      <c r="W64" s="417"/>
      <c r="X64" s="417"/>
      <c r="Y64" s="417"/>
      <c r="Z64" s="417"/>
      <c r="AA64" s="417"/>
      <c r="AB64" s="417"/>
      <c r="AC64" s="417"/>
      <c r="AD64" s="417"/>
      <c r="AE64" s="418"/>
      <c r="AF64" s="151"/>
      <c r="AG64" s="151"/>
      <c r="AH64" s="148"/>
      <c r="AI64" s="148"/>
      <c r="AJ64" s="148"/>
      <c r="AK64" s="148"/>
      <c r="AL64" s="148"/>
      <c r="AM64" s="148"/>
      <c r="AQ64" s="126"/>
      <c r="AR64" s="126"/>
      <c r="AS64" s="126"/>
      <c r="AT64" s="126"/>
      <c r="BA64" s="113"/>
      <c r="BS64" s="5"/>
      <c r="BT64" s="5"/>
      <c r="BU64" s="6"/>
    </row>
    <row r="65" spans="2:73" ht="15.75">
      <c r="B65" s="153">
        <v>43265</v>
      </c>
      <c r="C65" s="416" t="s">
        <v>232</v>
      </c>
      <c r="D65" s="417"/>
      <c r="E65" s="417"/>
      <c r="F65" s="417"/>
      <c r="G65" s="417"/>
      <c r="H65" s="417"/>
      <c r="I65" s="417"/>
      <c r="J65" s="417"/>
      <c r="K65" s="417"/>
      <c r="L65" s="417"/>
      <c r="M65" s="417"/>
      <c r="N65" s="417"/>
      <c r="O65" s="417"/>
      <c r="P65" s="417"/>
      <c r="Q65" s="417"/>
      <c r="R65" s="417"/>
      <c r="S65" s="417"/>
      <c r="T65" s="417"/>
      <c r="U65" s="417"/>
      <c r="V65" s="417"/>
      <c r="W65" s="417"/>
      <c r="X65" s="417"/>
      <c r="Y65" s="417"/>
      <c r="Z65" s="417"/>
      <c r="AA65" s="417"/>
      <c r="AB65" s="417"/>
      <c r="AC65" s="417"/>
      <c r="AD65" s="417"/>
      <c r="AE65" s="418"/>
      <c r="AF65" s="151"/>
      <c r="AG65" s="151"/>
      <c r="AH65" s="148"/>
      <c r="AI65" s="148"/>
      <c r="AJ65" s="148"/>
      <c r="AK65" s="148"/>
      <c r="AL65" s="148"/>
      <c r="AM65" s="148"/>
      <c r="AQ65" s="126"/>
      <c r="AR65" s="126"/>
      <c r="AS65" s="126"/>
      <c r="AT65" s="126"/>
      <c r="BA65" s="113"/>
      <c r="BS65" s="5"/>
      <c r="BT65" s="5"/>
      <c r="BU65" s="6"/>
    </row>
    <row r="66" spans="2:73" ht="15.75">
      <c r="B66" s="153">
        <v>43266</v>
      </c>
      <c r="C66" s="416" t="s">
        <v>232</v>
      </c>
      <c r="D66" s="417"/>
      <c r="E66" s="417"/>
      <c r="F66" s="417"/>
      <c r="G66" s="417"/>
      <c r="H66" s="417"/>
      <c r="I66" s="417"/>
      <c r="J66" s="417"/>
      <c r="K66" s="417"/>
      <c r="L66" s="417"/>
      <c r="M66" s="417"/>
      <c r="N66" s="417"/>
      <c r="O66" s="417"/>
      <c r="P66" s="417"/>
      <c r="Q66" s="417"/>
      <c r="R66" s="417"/>
      <c r="S66" s="417"/>
      <c r="T66" s="417"/>
      <c r="U66" s="417"/>
      <c r="V66" s="417"/>
      <c r="W66" s="417"/>
      <c r="X66" s="417"/>
      <c r="Y66" s="417"/>
      <c r="Z66" s="417"/>
      <c r="AA66" s="417"/>
      <c r="AB66" s="417"/>
      <c r="AC66" s="417"/>
      <c r="AD66" s="417"/>
      <c r="AE66" s="418"/>
      <c r="AF66" s="151"/>
      <c r="AG66" s="151"/>
      <c r="AH66" s="148"/>
      <c r="AI66" s="148"/>
      <c r="AJ66" s="148"/>
      <c r="AK66" s="148"/>
      <c r="AL66" s="148"/>
      <c r="AM66" s="148"/>
      <c r="AQ66" s="126"/>
      <c r="AR66" s="126"/>
      <c r="AS66" s="126"/>
      <c r="AT66" s="126"/>
      <c r="BA66" s="113"/>
      <c r="BS66" s="5"/>
      <c r="BT66" s="5"/>
      <c r="BU66" s="6"/>
    </row>
    <row r="67" spans="2:73" ht="15.75">
      <c r="B67" s="153">
        <v>43267</v>
      </c>
      <c r="C67" s="416" t="s">
        <v>233</v>
      </c>
      <c r="D67" s="417"/>
      <c r="E67" s="417"/>
      <c r="F67" s="417"/>
      <c r="G67" s="417"/>
      <c r="H67" s="417"/>
      <c r="I67" s="417"/>
      <c r="J67" s="417"/>
      <c r="K67" s="417"/>
      <c r="L67" s="417"/>
      <c r="M67" s="417"/>
      <c r="N67" s="417"/>
      <c r="O67" s="417"/>
      <c r="P67" s="417"/>
      <c r="Q67" s="417"/>
      <c r="R67" s="417"/>
      <c r="S67" s="417"/>
      <c r="T67" s="417"/>
      <c r="U67" s="417"/>
      <c r="V67" s="417"/>
      <c r="W67" s="417"/>
      <c r="X67" s="417"/>
      <c r="Y67" s="417"/>
      <c r="Z67" s="417"/>
      <c r="AA67" s="417"/>
      <c r="AB67" s="417"/>
      <c r="AC67" s="417"/>
      <c r="AD67" s="417"/>
      <c r="AE67" s="418"/>
      <c r="AF67" s="151"/>
      <c r="AG67" s="151"/>
      <c r="AH67" s="148"/>
      <c r="AI67" s="148"/>
      <c r="AJ67" s="148"/>
      <c r="AK67" s="148"/>
      <c r="AL67" s="148"/>
      <c r="AM67" s="148"/>
      <c r="AQ67" s="126"/>
      <c r="AR67" s="126"/>
      <c r="AS67" s="126"/>
      <c r="AT67" s="126"/>
      <c r="BA67" s="113"/>
      <c r="BS67" s="5"/>
      <c r="BT67" s="5"/>
      <c r="BU67" s="6"/>
    </row>
    <row r="68" spans="2:73" ht="15.75">
      <c r="B68" s="153">
        <v>43268</v>
      </c>
      <c r="C68" s="416" t="s">
        <v>234</v>
      </c>
      <c r="D68" s="417"/>
      <c r="E68" s="417"/>
      <c r="F68" s="417"/>
      <c r="G68" s="417"/>
      <c r="H68" s="417"/>
      <c r="I68" s="417"/>
      <c r="J68" s="417"/>
      <c r="K68" s="417"/>
      <c r="L68" s="417"/>
      <c r="M68" s="417"/>
      <c r="N68" s="417"/>
      <c r="O68" s="417"/>
      <c r="P68" s="417"/>
      <c r="Q68" s="417"/>
      <c r="R68" s="417"/>
      <c r="S68" s="417"/>
      <c r="T68" s="417"/>
      <c r="U68" s="417"/>
      <c r="V68" s="417"/>
      <c r="W68" s="417"/>
      <c r="X68" s="417"/>
      <c r="Y68" s="417"/>
      <c r="Z68" s="417"/>
      <c r="AA68" s="417"/>
      <c r="AB68" s="417"/>
      <c r="AC68" s="417"/>
      <c r="AD68" s="417"/>
      <c r="AE68" s="418"/>
      <c r="AF68" s="151"/>
      <c r="AG68" s="151"/>
      <c r="AH68" s="148"/>
      <c r="AI68" s="148"/>
      <c r="AJ68" s="148"/>
      <c r="AK68" s="148"/>
      <c r="AL68" s="148"/>
      <c r="AM68" s="148"/>
      <c r="AQ68" s="126"/>
      <c r="AR68" s="126"/>
      <c r="AS68" s="126"/>
      <c r="AT68" s="126"/>
      <c r="BA68" s="113"/>
      <c r="BS68" s="5"/>
      <c r="BT68" s="5"/>
      <c r="BU68" s="6"/>
    </row>
    <row r="69" spans="2:73" ht="15.75">
      <c r="B69" s="153">
        <v>43269</v>
      </c>
      <c r="C69" s="416" t="s">
        <v>235</v>
      </c>
      <c r="D69" s="417"/>
      <c r="E69" s="417"/>
      <c r="F69" s="417"/>
      <c r="G69" s="417"/>
      <c r="H69" s="417"/>
      <c r="I69" s="417"/>
      <c r="J69" s="417"/>
      <c r="K69" s="417"/>
      <c r="L69" s="417"/>
      <c r="M69" s="417"/>
      <c r="N69" s="417"/>
      <c r="O69" s="417"/>
      <c r="P69" s="417"/>
      <c r="Q69" s="417"/>
      <c r="R69" s="417"/>
      <c r="S69" s="417"/>
      <c r="T69" s="417"/>
      <c r="U69" s="417"/>
      <c r="V69" s="417"/>
      <c r="W69" s="417"/>
      <c r="X69" s="417"/>
      <c r="Y69" s="417"/>
      <c r="Z69" s="417"/>
      <c r="AA69" s="417"/>
      <c r="AB69" s="417"/>
      <c r="AC69" s="417"/>
      <c r="AD69" s="417"/>
      <c r="AE69" s="418"/>
      <c r="AF69" s="151"/>
      <c r="AG69" s="151"/>
      <c r="AH69" s="148"/>
      <c r="AI69" s="148"/>
      <c r="AJ69" s="148"/>
      <c r="AK69" s="148"/>
      <c r="AL69" s="148"/>
      <c r="AM69" s="148"/>
      <c r="AQ69" s="126"/>
      <c r="AR69" s="126"/>
      <c r="AS69" s="126"/>
      <c r="AT69" s="126"/>
      <c r="BA69" s="113"/>
      <c r="BS69" s="5"/>
      <c r="BT69" s="5"/>
      <c r="BU69" s="6"/>
    </row>
    <row r="70" spans="2:73" ht="15.75">
      <c r="B70" s="153">
        <v>43270</v>
      </c>
      <c r="C70" s="416" t="s">
        <v>236</v>
      </c>
      <c r="D70" s="417"/>
      <c r="E70" s="417"/>
      <c r="F70" s="417"/>
      <c r="G70" s="417"/>
      <c r="H70" s="417"/>
      <c r="I70" s="417"/>
      <c r="J70" s="417"/>
      <c r="K70" s="417"/>
      <c r="L70" s="417"/>
      <c r="M70" s="417"/>
      <c r="N70" s="417"/>
      <c r="O70" s="417"/>
      <c r="P70" s="417"/>
      <c r="Q70" s="417"/>
      <c r="R70" s="417"/>
      <c r="S70" s="417"/>
      <c r="T70" s="417"/>
      <c r="U70" s="417"/>
      <c r="V70" s="417"/>
      <c r="W70" s="417"/>
      <c r="X70" s="417"/>
      <c r="Y70" s="417"/>
      <c r="Z70" s="417"/>
      <c r="AA70" s="417"/>
      <c r="AB70" s="417"/>
      <c r="AC70" s="417"/>
      <c r="AD70" s="417"/>
      <c r="AE70" s="418"/>
      <c r="AF70" s="151"/>
      <c r="AG70" s="151"/>
      <c r="AH70" s="148"/>
      <c r="AI70" s="148"/>
      <c r="AJ70" s="148"/>
      <c r="AK70" s="148"/>
      <c r="AL70" s="148"/>
      <c r="AM70" s="148"/>
      <c r="AQ70" s="126"/>
      <c r="AR70" s="126"/>
      <c r="AS70" s="126"/>
      <c r="AT70" s="126"/>
      <c r="BA70" s="113"/>
      <c r="BS70" s="5"/>
      <c r="BT70" s="5"/>
      <c r="BU70" s="6"/>
    </row>
    <row r="71" spans="2:73" ht="15.75">
      <c r="B71" s="153">
        <v>43271</v>
      </c>
      <c r="C71" s="416" t="s">
        <v>226</v>
      </c>
      <c r="D71" s="417"/>
      <c r="E71" s="417"/>
      <c r="F71" s="417"/>
      <c r="G71" s="417"/>
      <c r="H71" s="417"/>
      <c r="I71" s="417"/>
      <c r="J71" s="417"/>
      <c r="K71" s="417"/>
      <c r="L71" s="417"/>
      <c r="M71" s="417"/>
      <c r="N71" s="417"/>
      <c r="O71" s="417"/>
      <c r="P71" s="417"/>
      <c r="Q71" s="417"/>
      <c r="R71" s="417"/>
      <c r="S71" s="417"/>
      <c r="T71" s="417"/>
      <c r="U71" s="417"/>
      <c r="V71" s="417"/>
      <c r="W71" s="417"/>
      <c r="X71" s="417"/>
      <c r="Y71" s="417"/>
      <c r="Z71" s="417"/>
      <c r="AA71" s="417"/>
      <c r="AB71" s="417"/>
      <c r="AC71" s="417"/>
      <c r="AD71" s="417"/>
      <c r="AE71" s="418"/>
      <c r="AF71" s="151"/>
      <c r="AG71" s="151"/>
      <c r="AH71" s="148"/>
      <c r="AI71" s="148"/>
      <c r="AJ71" s="148"/>
      <c r="AK71" s="148"/>
      <c r="AL71" s="148"/>
      <c r="AM71" s="148"/>
      <c r="AQ71" s="126"/>
      <c r="AR71" s="126"/>
      <c r="AS71" s="126"/>
      <c r="AT71" s="126"/>
      <c r="BA71" s="113"/>
      <c r="BS71" s="5"/>
      <c r="BT71" s="5"/>
      <c r="BU71" s="6"/>
    </row>
    <row r="72" spans="2:73" ht="15.75">
      <c r="B72" s="153">
        <v>43272</v>
      </c>
      <c r="C72" s="416" t="s">
        <v>226</v>
      </c>
      <c r="D72" s="417"/>
      <c r="E72" s="417"/>
      <c r="F72" s="417"/>
      <c r="G72" s="417"/>
      <c r="H72" s="417"/>
      <c r="I72" s="417"/>
      <c r="J72" s="417"/>
      <c r="K72" s="417"/>
      <c r="L72" s="417"/>
      <c r="M72" s="417"/>
      <c r="N72" s="417"/>
      <c r="O72" s="417"/>
      <c r="P72" s="417"/>
      <c r="Q72" s="417"/>
      <c r="R72" s="417"/>
      <c r="S72" s="417"/>
      <c r="T72" s="417"/>
      <c r="U72" s="417"/>
      <c r="V72" s="417"/>
      <c r="W72" s="417"/>
      <c r="X72" s="417"/>
      <c r="Y72" s="417"/>
      <c r="Z72" s="417"/>
      <c r="AA72" s="417"/>
      <c r="AB72" s="417"/>
      <c r="AC72" s="417"/>
      <c r="AD72" s="417"/>
      <c r="AE72" s="418"/>
      <c r="AF72" s="151"/>
      <c r="AG72" s="151"/>
      <c r="AH72" s="148"/>
      <c r="AI72" s="148"/>
      <c r="AJ72" s="148"/>
      <c r="AK72" s="148"/>
      <c r="AL72" s="148"/>
      <c r="AM72" s="148"/>
      <c r="AQ72" s="126"/>
      <c r="AR72" s="126"/>
      <c r="AS72" s="126"/>
      <c r="AT72" s="126"/>
      <c r="BA72" s="113"/>
      <c r="BS72" s="5"/>
      <c r="BT72" s="5"/>
      <c r="BU72" s="6"/>
    </row>
    <row r="73" spans="2:73" ht="15.75">
      <c r="B73" s="153">
        <v>43273</v>
      </c>
      <c r="C73" s="416" t="s">
        <v>237</v>
      </c>
      <c r="D73" s="417"/>
      <c r="E73" s="417"/>
      <c r="F73" s="417"/>
      <c r="G73" s="417"/>
      <c r="H73" s="417"/>
      <c r="I73" s="417"/>
      <c r="J73" s="417"/>
      <c r="K73" s="417"/>
      <c r="L73" s="417"/>
      <c r="M73" s="417"/>
      <c r="N73" s="417"/>
      <c r="O73" s="417"/>
      <c r="P73" s="417"/>
      <c r="Q73" s="417"/>
      <c r="R73" s="417"/>
      <c r="S73" s="417"/>
      <c r="T73" s="417"/>
      <c r="U73" s="417"/>
      <c r="V73" s="417"/>
      <c r="W73" s="417"/>
      <c r="X73" s="417"/>
      <c r="Y73" s="417"/>
      <c r="Z73" s="417"/>
      <c r="AA73" s="417"/>
      <c r="AB73" s="417"/>
      <c r="AC73" s="417"/>
      <c r="AD73" s="417"/>
      <c r="AE73" s="418"/>
      <c r="AF73" s="151"/>
      <c r="AG73" s="151"/>
      <c r="AH73" s="148"/>
      <c r="AI73" s="148"/>
      <c r="AJ73" s="148"/>
      <c r="AK73" s="148"/>
      <c r="AL73" s="148"/>
      <c r="AM73" s="148"/>
      <c r="AQ73" s="126"/>
      <c r="AR73" s="126"/>
      <c r="AS73" s="126"/>
      <c r="AT73" s="126"/>
      <c r="BA73" s="113"/>
      <c r="BS73" s="5"/>
      <c r="BT73" s="5"/>
      <c r="BU73" s="6"/>
    </row>
    <row r="74" spans="2:73" ht="15.75">
      <c r="B74" s="153">
        <v>43274</v>
      </c>
      <c r="C74" s="416" t="s">
        <v>238</v>
      </c>
      <c r="D74" s="417"/>
      <c r="E74" s="417"/>
      <c r="F74" s="417"/>
      <c r="G74" s="417"/>
      <c r="H74" s="417"/>
      <c r="I74" s="417"/>
      <c r="J74" s="417"/>
      <c r="K74" s="417"/>
      <c r="L74" s="417"/>
      <c r="M74" s="417"/>
      <c r="N74" s="417"/>
      <c r="O74" s="417"/>
      <c r="P74" s="417"/>
      <c r="Q74" s="417"/>
      <c r="R74" s="417"/>
      <c r="S74" s="417"/>
      <c r="T74" s="417"/>
      <c r="U74" s="417"/>
      <c r="V74" s="417"/>
      <c r="W74" s="417"/>
      <c r="X74" s="417"/>
      <c r="Y74" s="417"/>
      <c r="Z74" s="417"/>
      <c r="AA74" s="417"/>
      <c r="AB74" s="417"/>
      <c r="AC74" s="417"/>
      <c r="AD74" s="417"/>
      <c r="AE74" s="418"/>
      <c r="AF74" s="151"/>
      <c r="AG74" s="151"/>
      <c r="AH74" s="148"/>
      <c r="AI74" s="148"/>
      <c r="AJ74" s="148"/>
      <c r="AK74" s="148"/>
      <c r="AL74" s="148"/>
      <c r="AM74" s="148"/>
      <c r="AQ74" s="126"/>
      <c r="AR74" s="126"/>
      <c r="AS74" s="126"/>
      <c r="AT74" s="126"/>
      <c r="BA74" s="113"/>
      <c r="BS74" s="5"/>
      <c r="BT74" s="5"/>
      <c r="BU74" s="6"/>
    </row>
    <row r="75" spans="2:73" ht="15.75" customHeight="1">
      <c r="B75" s="153">
        <v>43275</v>
      </c>
      <c r="C75" s="416" t="s">
        <v>239</v>
      </c>
      <c r="D75" s="417"/>
      <c r="E75" s="417"/>
      <c r="F75" s="417"/>
      <c r="G75" s="417"/>
      <c r="H75" s="417"/>
      <c r="I75" s="417"/>
      <c r="J75" s="417"/>
      <c r="K75" s="417"/>
      <c r="L75" s="417"/>
      <c r="M75" s="417"/>
      <c r="N75" s="417"/>
      <c r="O75" s="417"/>
      <c r="P75" s="417"/>
      <c r="Q75" s="417"/>
      <c r="R75" s="417"/>
      <c r="S75" s="417"/>
      <c r="T75" s="417"/>
      <c r="U75" s="417"/>
      <c r="V75" s="417"/>
      <c r="W75" s="417"/>
      <c r="X75" s="417"/>
      <c r="Y75" s="417"/>
      <c r="Z75" s="417"/>
      <c r="AA75" s="417"/>
      <c r="AB75" s="417"/>
      <c r="AC75" s="417"/>
      <c r="AD75" s="417"/>
      <c r="AE75" s="418"/>
      <c r="AF75" s="151"/>
      <c r="AG75" s="151"/>
      <c r="AH75" s="148"/>
      <c r="AI75" s="148"/>
      <c r="AJ75" s="148"/>
      <c r="AK75" s="148"/>
      <c r="AL75" s="148"/>
      <c r="AM75" s="148"/>
      <c r="AQ75" s="126"/>
      <c r="AR75" s="126"/>
      <c r="AS75" s="126"/>
      <c r="AT75" s="126"/>
      <c r="BA75" s="113"/>
      <c r="BS75" s="5"/>
      <c r="BT75" s="5"/>
      <c r="BU75" s="6"/>
    </row>
    <row r="76" spans="2:73" ht="15.75">
      <c r="B76" s="153">
        <v>43276</v>
      </c>
      <c r="C76" s="416" t="s">
        <v>240</v>
      </c>
      <c r="D76" s="417"/>
      <c r="E76" s="417"/>
      <c r="F76" s="417"/>
      <c r="G76" s="417"/>
      <c r="H76" s="417"/>
      <c r="I76" s="417"/>
      <c r="J76" s="417"/>
      <c r="K76" s="417"/>
      <c r="L76" s="417"/>
      <c r="M76" s="417"/>
      <c r="N76" s="417"/>
      <c r="O76" s="417"/>
      <c r="P76" s="417"/>
      <c r="Q76" s="417"/>
      <c r="R76" s="417"/>
      <c r="S76" s="417"/>
      <c r="T76" s="417"/>
      <c r="U76" s="417"/>
      <c r="V76" s="417"/>
      <c r="W76" s="417"/>
      <c r="X76" s="417"/>
      <c r="Y76" s="417"/>
      <c r="Z76" s="417"/>
      <c r="AA76" s="417"/>
      <c r="AB76" s="417"/>
      <c r="AC76" s="417"/>
      <c r="AD76" s="417"/>
      <c r="AE76" s="418"/>
      <c r="AF76" s="151"/>
      <c r="AG76" s="151"/>
      <c r="AH76" s="148"/>
      <c r="AI76" s="148"/>
      <c r="AJ76" s="148"/>
      <c r="AK76" s="148"/>
      <c r="AL76" s="148"/>
      <c r="AM76" s="148"/>
      <c r="AQ76" s="126"/>
      <c r="AR76" s="126"/>
      <c r="AS76" s="126"/>
      <c r="AT76" s="126"/>
      <c r="BA76" s="113"/>
      <c r="BS76" s="5"/>
      <c r="BT76" s="5"/>
      <c r="BU76" s="6"/>
    </row>
    <row r="77" spans="2:73" ht="15.75">
      <c r="B77" s="153">
        <v>43277</v>
      </c>
      <c r="C77" s="416" t="s">
        <v>241</v>
      </c>
      <c r="D77" s="417"/>
      <c r="E77" s="417"/>
      <c r="F77" s="417"/>
      <c r="G77" s="417"/>
      <c r="H77" s="417"/>
      <c r="I77" s="417"/>
      <c r="J77" s="417"/>
      <c r="K77" s="417"/>
      <c r="L77" s="417"/>
      <c r="M77" s="417"/>
      <c r="N77" s="417"/>
      <c r="O77" s="417"/>
      <c r="P77" s="417"/>
      <c r="Q77" s="417"/>
      <c r="R77" s="417"/>
      <c r="S77" s="417"/>
      <c r="T77" s="417"/>
      <c r="U77" s="417"/>
      <c r="V77" s="417"/>
      <c r="W77" s="417"/>
      <c r="X77" s="417"/>
      <c r="Y77" s="417"/>
      <c r="Z77" s="417"/>
      <c r="AA77" s="417"/>
      <c r="AB77" s="417"/>
      <c r="AC77" s="417"/>
      <c r="AD77" s="417"/>
      <c r="AE77" s="418"/>
      <c r="AF77" s="151"/>
      <c r="AG77" s="151"/>
      <c r="AH77" s="148"/>
      <c r="AI77" s="148"/>
      <c r="AJ77" s="148"/>
      <c r="AK77" s="148"/>
      <c r="AL77" s="148"/>
      <c r="AM77" s="148"/>
      <c r="AQ77" s="126"/>
      <c r="AR77" s="126"/>
      <c r="AS77" s="126"/>
      <c r="AT77" s="126"/>
      <c r="BA77" s="113"/>
      <c r="BS77" s="5"/>
      <c r="BT77" s="5"/>
      <c r="BU77" s="6"/>
    </row>
    <row r="78" spans="2:73" ht="15.75">
      <c r="B78" s="153">
        <v>43278</v>
      </c>
      <c r="C78" s="416" t="s">
        <v>242</v>
      </c>
      <c r="D78" s="417"/>
      <c r="E78" s="417"/>
      <c r="F78" s="417"/>
      <c r="G78" s="417"/>
      <c r="H78" s="417"/>
      <c r="I78" s="417"/>
      <c r="J78" s="417"/>
      <c r="K78" s="417"/>
      <c r="L78" s="417"/>
      <c r="M78" s="417"/>
      <c r="N78" s="417"/>
      <c r="O78" s="417"/>
      <c r="P78" s="417"/>
      <c r="Q78" s="417"/>
      <c r="R78" s="417"/>
      <c r="S78" s="417"/>
      <c r="T78" s="417"/>
      <c r="U78" s="417"/>
      <c r="V78" s="417"/>
      <c r="W78" s="417"/>
      <c r="X78" s="417"/>
      <c r="Y78" s="417"/>
      <c r="Z78" s="417"/>
      <c r="AA78" s="417"/>
      <c r="AB78" s="417"/>
      <c r="AC78" s="417"/>
      <c r="AD78" s="417"/>
      <c r="AE78" s="418"/>
      <c r="AF78" s="151"/>
      <c r="AG78" s="151"/>
      <c r="AH78" s="148"/>
      <c r="AI78" s="148"/>
      <c r="AJ78" s="148"/>
      <c r="AK78" s="148"/>
      <c r="AL78" s="148"/>
      <c r="AM78" s="148"/>
      <c r="AQ78" s="126"/>
      <c r="AR78" s="126"/>
      <c r="AS78" s="126"/>
      <c r="AT78" s="126"/>
      <c r="BA78" s="113"/>
      <c r="BS78" s="5"/>
      <c r="BT78" s="5"/>
      <c r="BU78" s="6"/>
    </row>
    <row r="79" spans="2:73" ht="15.75">
      <c r="B79" s="153">
        <v>43279</v>
      </c>
      <c r="C79" s="416" t="s">
        <v>243</v>
      </c>
      <c r="D79" s="417"/>
      <c r="E79" s="417"/>
      <c r="F79" s="417"/>
      <c r="G79" s="417"/>
      <c r="H79" s="417"/>
      <c r="I79" s="417"/>
      <c r="J79" s="417"/>
      <c r="K79" s="417"/>
      <c r="L79" s="417"/>
      <c r="M79" s="417"/>
      <c r="N79" s="417"/>
      <c r="O79" s="417"/>
      <c r="P79" s="417"/>
      <c r="Q79" s="417"/>
      <c r="R79" s="417"/>
      <c r="S79" s="417"/>
      <c r="T79" s="417"/>
      <c r="U79" s="417"/>
      <c r="V79" s="417"/>
      <c r="W79" s="417"/>
      <c r="X79" s="417"/>
      <c r="Y79" s="417"/>
      <c r="Z79" s="417"/>
      <c r="AA79" s="417"/>
      <c r="AB79" s="417"/>
      <c r="AC79" s="417"/>
      <c r="AD79" s="417"/>
      <c r="AE79" s="418"/>
      <c r="AF79" s="151"/>
      <c r="AG79" s="151"/>
      <c r="AH79" s="148"/>
      <c r="AI79" s="148"/>
      <c r="AJ79" s="148"/>
      <c r="AK79" s="148"/>
      <c r="AL79" s="148"/>
      <c r="AM79" s="148"/>
      <c r="AQ79" s="126"/>
      <c r="AR79" s="126"/>
      <c r="AS79" s="126"/>
      <c r="AT79" s="126"/>
      <c r="BA79" s="113"/>
      <c r="BS79" s="5"/>
      <c r="BT79" s="5"/>
      <c r="BU79" s="6"/>
    </row>
    <row r="80" spans="2:73" ht="15.75">
      <c r="B80" s="153">
        <v>43280</v>
      </c>
      <c r="C80" s="416" t="s">
        <v>248</v>
      </c>
      <c r="D80" s="417"/>
      <c r="E80" s="417"/>
      <c r="F80" s="417"/>
      <c r="G80" s="417"/>
      <c r="H80" s="417"/>
      <c r="I80" s="417"/>
      <c r="J80" s="417"/>
      <c r="K80" s="417"/>
      <c r="L80" s="417"/>
      <c r="M80" s="417"/>
      <c r="N80" s="417"/>
      <c r="O80" s="417"/>
      <c r="P80" s="417"/>
      <c r="Q80" s="417"/>
      <c r="R80" s="417"/>
      <c r="S80" s="417"/>
      <c r="T80" s="417"/>
      <c r="U80" s="417"/>
      <c r="V80" s="417"/>
      <c r="W80" s="417"/>
      <c r="X80" s="417"/>
      <c r="Y80" s="417"/>
      <c r="Z80" s="417"/>
      <c r="AA80" s="417"/>
      <c r="AB80" s="417"/>
      <c r="AC80" s="417"/>
      <c r="AD80" s="417"/>
      <c r="AE80" s="418"/>
    </row>
    <row r="81" spans="2:31" ht="15.75">
      <c r="B81" s="153">
        <v>43281</v>
      </c>
      <c r="C81" s="416"/>
      <c r="D81" s="417"/>
      <c r="E81" s="417"/>
      <c r="F81" s="417"/>
      <c r="G81" s="417"/>
      <c r="H81" s="417"/>
      <c r="I81" s="417"/>
      <c r="J81" s="417"/>
      <c r="K81" s="417"/>
      <c r="L81" s="417"/>
      <c r="M81" s="417"/>
      <c r="N81" s="417"/>
      <c r="O81" s="417"/>
      <c r="P81" s="417"/>
      <c r="Q81" s="417"/>
      <c r="R81" s="417"/>
      <c r="S81" s="417"/>
      <c r="T81" s="417"/>
      <c r="U81" s="417"/>
      <c r="V81" s="417"/>
      <c r="W81" s="417"/>
      <c r="X81" s="417"/>
      <c r="Y81" s="417"/>
      <c r="Z81" s="417"/>
      <c r="AA81" s="417"/>
      <c r="AB81" s="417"/>
      <c r="AC81" s="417"/>
      <c r="AD81" s="417"/>
      <c r="AE81" s="418"/>
    </row>
    <row r="95" spans="2:31">
      <c r="Q95">
        <f>53/60</f>
        <v>0.8833333333333333</v>
      </c>
    </row>
    <row r="96" spans="2:31">
      <c r="Q96">
        <f>6/60</f>
        <v>0.1</v>
      </c>
    </row>
    <row r="99" spans="19:19">
      <c r="S99">
        <f>6/60</f>
        <v>0.1</v>
      </c>
    </row>
  </sheetData>
  <mergeCells count="115">
    <mergeCell ref="C76:AE76"/>
    <mergeCell ref="C77:AE77"/>
    <mergeCell ref="C78:AE78"/>
    <mergeCell ref="C79:AE79"/>
    <mergeCell ref="C80:AE80"/>
    <mergeCell ref="C81:AE81"/>
    <mergeCell ref="C70:AE70"/>
    <mergeCell ref="C71:AE71"/>
    <mergeCell ref="C52:AE52"/>
    <mergeCell ref="C73:AE73"/>
    <mergeCell ref="C74:AE74"/>
    <mergeCell ref="C75:AE75"/>
    <mergeCell ref="C64:AE64"/>
    <mergeCell ref="C65:AE65"/>
    <mergeCell ref="C66:AE66"/>
    <mergeCell ref="C67:AE67"/>
    <mergeCell ref="C68:AE68"/>
    <mergeCell ref="C69:AE69"/>
    <mergeCell ref="C58:AE58"/>
    <mergeCell ref="C59:AE59"/>
    <mergeCell ref="C60:AE60"/>
    <mergeCell ref="C61:AE61"/>
    <mergeCell ref="C62:AE62"/>
    <mergeCell ref="C63:AE63"/>
    <mergeCell ref="C53:AE53"/>
    <mergeCell ref="C54:AE54"/>
    <mergeCell ref="C55:AE55"/>
    <mergeCell ref="C56:AE56"/>
    <mergeCell ref="C57:AE57"/>
    <mergeCell ref="C72:AE72"/>
    <mergeCell ref="H43:I43"/>
    <mergeCell ref="J43:K43"/>
    <mergeCell ref="L43:M43"/>
    <mergeCell ref="N43:O43"/>
    <mergeCell ref="P43:Q43"/>
    <mergeCell ref="C51:AE51"/>
    <mergeCell ref="A5:A11"/>
    <mergeCell ref="A12:A18"/>
    <mergeCell ref="A19:A25"/>
    <mergeCell ref="A26:A32"/>
    <mergeCell ref="A33:A39"/>
    <mergeCell ref="F43:G43"/>
    <mergeCell ref="CA2:CA4"/>
    <mergeCell ref="CC2:CD2"/>
    <mergeCell ref="CE2:CF2"/>
    <mergeCell ref="H3:I3"/>
    <mergeCell ref="J3:K3"/>
    <mergeCell ref="L3:M3"/>
    <mergeCell ref="N3:O3"/>
    <mergeCell ref="BH3:BH4"/>
    <mergeCell ref="BI3:BI4"/>
    <mergeCell ref="BK3:BK4"/>
    <mergeCell ref="BR2:BR4"/>
    <mergeCell ref="BS2:BS4"/>
    <mergeCell ref="BT2:BT4"/>
    <mergeCell ref="BW2:BW4"/>
    <mergeCell ref="BX2:BX4"/>
    <mergeCell ref="BZ2:BZ4"/>
    <mergeCell ref="BV3:BV4"/>
    <mergeCell ref="BE2:BE4"/>
    <mergeCell ref="BF2:BF4"/>
    <mergeCell ref="BG2:BG4"/>
    <mergeCell ref="BL2:BM2"/>
    <mergeCell ref="BP2:BP4"/>
    <mergeCell ref="BQ2:BQ4"/>
    <mergeCell ref="BL3:BL4"/>
    <mergeCell ref="BM3:BM4"/>
    <mergeCell ref="BN3:BN4"/>
    <mergeCell ref="BO3:BO4"/>
    <mergeCell ref="AX2:AX4"/>
    <mergeCell ref="AY2:AY4"/>
    <mergeCell ref="AZ2:AZ4"/>
    <mergeCell ref="BB2:BB4"/>
    <mergeCell ref="BC2:BC4"/>
    <mergeCell ref="BD2:BD4"/>
    <mergeCell ref="AQ2:AQ4"/>
    <mergeCell ref="AR2:AR4"/>
    <mergeCell ref="AT2:AT4"/>
    <mergeCell ref="AU2:AU4"/>
    <mergeCell ref="AV2:AV4"/>
    <mergeCell ref="AW2:AW4"/>
    <mergeCell ref="X2:X4"/>
    <mergeCell ref="AK2:AK4"/>
    <mergeCell ref="AL2:AL4"/>
    <mergeCell ref="AM2:AM4"/>
    <mergeCell ref="AN2:AN4"/>
    <mergeCell ref="AO2:AO4"/>
    <mergeCell ref="AP2:AP4"/>
    <mergeCell ref="AH2:AH4"/>
    <mergeCell ref="AI2:AI4"/>
    <mergeCell ref="AJ2:AJ4"/>
    <mergeCell ref="B1:AG1"/>
    <mergeCell ref="B2:B4"/>
    <mergeCell ref="C2:C4"/>
    <mergeCell ref="D2:D4"/>
    <mergeCell ref="E2:E4"/>
    <mergeCell ref="F2:G3"/>
    <mergeCell ref="H2:K2"/>
    <mergeCell ref="L2:O2"/>
    <mergeCell ref="P2:Q3"/>
    <mergeCell ref="R2:R4"/>
    <mergeCell ref="AE2:AE4"/>
    <mergeCell ref="AF2:AF4"/>
    <mergeCell ref="AG2:AG4"/>
    <mergeCell ref="Y2:Y4"/>
    <mergeCell ref="Z2:Z4"/>
    <mergeCell ref="AA2:AA4"/>
    <mergeCell ref="AB2:AB4"/>
    <mergeCell ref="AC2:AC4"/>
    <mergeCell ref="AD2:AD4"/>
    <mergeCell ref="S2:S4"/>
    <mergeCell ref="T2:T4"/>
    <mergeCell ref="U2:U4"/>
    <mergeCell ref="V2:V4"/>
    <mergeCell ref="W2:W4"/>
  </mergeCells>
  <pageMargins left="0.7" right="0.7" top="0.75" bottom="0.75" header="0.3" footer="0.3"/>
  <pageSetup paperSize="9" orientation="portrait" r:id="rId1"/>
  <ignoredErrors>
    <ignoredError sqref="AP5:AP29 AP30:AP39 AM5:AM39" unlockedFormula="1"/>
    <ignoredError sqref="Q40:T40 K40:P40 AN40 AT40:AZ40 V40 AC40:AE40 BH40:BT40 BX40 BZ40:CA40 H40:J40 C40:G40" formulaRange="1"/>
    <ignoredError sqref="AR27" formula="1"/>
    <ignoredError sqref="AO40 W40:Y40 Z40:AB40" formula="1" formulaRange="1"/>
  </ignoredErrors>
</worksheet>
</file>

<file path=xl/worksheets/sheet7.xml><?xml version="1.0" encoding="utf-8"?>
<worksheet xmlns="http://schemas.openxmlformats.org/spreadsheetml/2006/main" xmlns:r="http://schemas.openxmlformats.org/officeDocument/2006/relationships">
  <dimension ref="A1:CF106"/>
  <sheetViews>
    <sheetView workbookViewId="0">
      <pane xSplit="2" ySplit="4" topLeftCell="C68" activePane="bottomRight" state="frozen"/>
      <selection pane="topRight" activeCell="C1" sqref="C1"/>
      <selection pane="bottomLeft" activeCell="A5" sqref="A5"/>
      <selection pane="bottomRight" activeCell="AK41" sqref="AK41"/>
    </sheetView>
  </sheetViews>
  <sheetFormatPr defaultRowHeight="15"/>
  <cols>
    <col min="2" max="2" width="10.140625" customWidth="1"/>
    <col min="37" max="37" width="9.5703125" bestFit="1" customWidth="1"/>
    <col min="39" max="39" width="9.5703125" customWidth="1"/>
    <col min="42" max="42" width="10" customWidth="1"/>
  </cols>
  <sheetData>
    <row r="1" spans="1:84" ht="18.75" thickBot="1">
      <c r="B1" s="490">
        <v>43282</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7"/>
      <c r="AI1" s="7"/>
      <c r="AJ1" s="7"/>
      <c r="AK1" s="8"/>
      <c r="AL1" s="8"/>
      <c r="AM1" s="8"/>
      <c r="AN1" s="8"/>
      <c r="AO1" s="8"/>
      <c r="AP1" s="8"/>
      <c r="AQ1" s="8"/>
      <c r="AR1" s="8"/>
      <c r="AS1" s="9"/>
      <c r="AT1" s="10"/>
      <c r="AU1" s="10"/>
      <c r="AV1" s="10"/>
      <c r="AW1" s="10"/>
      <c r="AX1" s="10"/>
      <c r="AY1" s="11"/>
      <c r="AZ1" s="11"/>
      <c r="BA1" s="4"/>
      <c r="BS1" s="5"/>
      <c r="BT1" s="5"/>
      <c r="BU1" s="6"/>
    </row>
    <row r="2" spans="1:84" ht="30.75" thickBot="1">
      <c r="A2" s="12"/>
      <c r="B2" s="491" t="s">
        <v>1</v>
      </c>
      <c r="C2" s="442" t="s">
        <v>2</v>
      </c>
      <c r="D2" s="494" t="s">
        <v>3</v>
      </c>
      <c r="E2" s="442" t="s">
        <v>130</v>
      </c>
      <c r="F2" s="497" t="s">
        <v>4</v>
      </c>
      <c r="G2" s="498"/>
      <c r="H2" s="477" t="s">
        <v>5</v>
      </c>
      <c r="I2" s="501"/>
      <c r="J2" s="501"/>
      <c r="K2" s="480"/>
      <c r="L2" s="477" t="s">
        <v>6</v>
      </c>
      <c r="M2" s="501"/>
      <c r="N2" s="501"/>
      <c r="O2" s="480"/>
      <c r="P2" s="502" t="s">
        <v>7</v>
      </c>
      <c r="Q2" s="503"/>
      <c r="R2" s="506" t="s">
        <v>8</v>
      </c>
      <c r="S2" s="422" t="s">
        <v>9</v>
      </c>
      <c r="T2" s="425" t="s">
        <v>10</v>
      </c>
      <c r="U2" s="433" t="s">
        <v>11</v>
      </c>
      <c r="V2" s="436" t="s">
        <v>12</v>
      </c>
      <c r="W2" s="439" t="s">
        <v>13</v>
      </c>
      <c r="X2" s="439" t="s">
        <v>14</v>
      </c>
      <c r="Y2" s="439" t="s">
        <v>15</v>
      </c>
      <c r="Z2" s="439" t="s">
        <v>16</v>
      </c>
      <c r="AA2" s="439" t="s">
        <v>17</v>
      </c>
      <c r="AB2" s="439" t="s">
        <v>18</v>
      </c>
      <c r="AC2" s="515" t="s">
        <v>19</v>
      </c>
      <c r="AD2" s="512" t="s">
        <v>20</v>
      </c>
      <c r="AE2" s="509" t="s">
        <v>21</v>
      </c>
      <c r="AF2" s="512" t="s">
        <v>22</v>
      </c>
      <c r="AG2" s="465" t="s">
        <v>23</v>
      </c>
      <c r="AH2" s="465" t="s">
        <v>24</v>
      </c>
      <c r="AI2" s="465" t="s">
        <v>25</v>
      </c>
      <c r="AJ2" s="468" t="s">
        <v>26</v>
      </c>
      <c r="AK2" s="518" t="s">
        <v>27</v>
      </c>
      <c r="AL2" s="419" t="s">
        <v>28</v>
      </c>
      <c r="AM2" s="468" t="s">
        <v>29</v>
      </c>
      <c r="AN2" s="419" t="s">
        <v>30</v>
      </c>
      <c r="AO2" s="419" t="s">
        <v>31</v>
      </c>
      <c r="AP2" s="468" t="s">
        <v>32</v>
      </c>
      <c r="AQ2" s="521" t="s">
        <v>33</v>
      </c>
      <c r="AR2" s="522" t="s">
        <v>34</v>
      </c>
      <c r="AS2" s="13"/>
      <c r="AT2" s="462" t="s">
        <v>35</v>
      </c>
      <c r="AU2" s="447" t="s">
        <v>36</v>
      </c>
      <c r="AV2" s="447" t="s">
        <v>37</v>
      </c>
      <c r="AW2" s="447" t="s">
        <v>38</v>
      </c>
      <c r="AX2" s="447" t="s">
        <v>39</v>
      </c>
      <c r="AY2" s="447" t="s">
        <v>40</v>
      </c>
      <c r="AZ2" s="447" t="s">
        <v>41</v>
      </c>
      <c r="BA2" s="4"/>
      <c r="BB2" s="447" t="s">
        <v>42</v>
      </c>
      <c r="BC2" s="447" t="s">
        <v>43</v>
      </c>
      <c r="BD2" s="447" t="s">
        <v>44</v>
      </c>
      <c r="BE2" s="447" t="s">
        <v>45</v>
      </c>
      <c r="BF2" s="447" t="s">
        <v>46</v>
      </c>
      <c r="BG2" s="447" t="s">
        <v>47</v>
      </c>
      <c r="BH2" s="14" t="s">
        <v>48</v>
      </c>
      <c r="BI2" s="14" t="s">
        <v>49</v>
      </c>
      <c r="BJ2" s="14" t="s">
        <v>50</v>
      </c>
      <c r="BK2" s="14" t="s">
        <v>51</v>
      </c>
      <c r="BL2" s="445" t="s">
        <v>52</v>
      </c>
      <c r="BM2" s="446"/>
      <c r="BN2" s="14" t="s">
        <v>53</v>
      </c>
      <c r="BO2" s="14" t="s">
        <v>54</v>
      </c>
      <c r="BP2" s="447" t="s">
        <v>55</v>
      </c>
      <c r="BQ2" s="484" t="s">
        <v>56</v>
      </c>
      <c r="BR2" s="484" t="s">
        <v>57</v>
      </c>
      <c r="BS2" s="481" t="s">
        <v>58</v>
      </c>
      <c r="BT2" s="481" t="s">
        <v>59</v>
      </c>
      <c r="BU2" s="6"/>
      <c r="BV2" s="14" t="s">
        <v>60</v>
      </c>
      <c r="BW2" s="447" t="s">
        <v>61</v>
      </c>
      <c r="BX2" s="447" t="s">
        <v>62</v>
      </c>
      <c r="BZ2" s="474" t="s">
        <v>63</v>
      </c>
      <c r="CA2" s="474" t="s">
        <v>64</v>
      </c>
      <c r="CC2" s="487" t="s">
        <v>124</v>
      </c>
      <c r="CD2" s="488"/>
      <c r="CE2" s="487" t="s">
        <v>128</v>
      </c>
      <c r="CF2" s="488"/>
    </row>
    <row r="3" spans="1:84" ht="26.25" thickBot="1">
      <c r="A3" s="16"/>
      <c r="B3" s="492"/>
      <c r="C3" s="443"/>
      <c r="D3" s="495"/>
      <c r="E3" s="443"/>
      <c r="F3" s="499"/>
      <c r="G3" s="500"/>
      <c r="H3" s="477" t="s">
        <v>65</v>
      </c>
      <c r="I3" s="478"/>
      <c r="J3" s="479" t="s">
        <v>66</v>
      </c>
      <c r="K3" s="480"/>
      <c r="L3" s="477" t="s">
        <v>65</v>
      </c>
      <c r="M3" s="478"/>
      <c r="N3" s="479" t="s">
        <v>66</v>
      </c>
      <c r="O3" s="480"/>
      <c r="P3" s="504"/>
      <c r="Q3" s="505"/>
      <c r="R3" s="507"/>
      <c r="S3" s="423"/>
      <c r="T3" s="426"/>
      <c r="U3" s="434"/>
      <c r="V3" s="437"/>
      <c r="W3" s="440"/>
      <c r="X3" s="440"/>
      <c r="Y3" s="440"/>
      <c r="Z3" s="440"/>
      <c r="AA3" s="440"/>
      <c r="AB3" s="440"/>
      <c r="AC3" s="516"/>
      <c r="AD3" s="513"/>
      <c r="AE3" s="510"/>
      <c r="AF3" s="513"/>
      <c r="AG3" s="466"/>
      <c r="AH3" s="466"/>
      <c r="AI3" s="466"/>
      <c r="AJ3" s="469"/>
      <c r="AK3" s="519"/>
      <c r="AL3" s="420"/>
      <c r="AM3" s="469"/>
      <c r="AN3" s="420"/>
      <c r="AO3" s="420"/>
      <c r="AP3" s="469"/>
      <c r="AQ3" s="521"/>
      <c r="AR3" s="523"/>
      <c r="AS3" s="13"/>
      <c r="AT3" s="463"/>
      <c r="AU3" s="440"/>
      <c r="AV3" s="440"/>
      <c r="AW3" s="440"/>
      <c r="AX3" s="440"/>
      <c r="AY3" s="440"/>
      <c r="AZ3" s="440"/>
      <c r="BA3" s="4"/>
      <c r="BB3" s="440"/>
      <c r="BC3" s="440"/>
      <c r="BD3" s="440"/>
      <c r="BE3" s="440"/>
      <c r="BF3" s="440"/>
      <c r="BG3" s="440"/>
      <c r="BH3" s="457" t="s">
        <v>67</v>
      </c>
      <c r="BI3" s="457" t="s">
        <v>67</v>
      </c>
      <c r="BJ3" s="17" t="s">
        <v>68</v>
      </c>
      <c r="BK3" s="449" t="s">
        <v>69</v>
      </c>
      <c r="BL3" s="449" t="s">
        <v>69</v>
      </c>
      <c r="BM3" s="449" t="s">
        <v>70</v>
      </c>
      <c r="BN3" s="457" t="s">
        <v>71</v>
      </c>
      <c r="BO3" s="457" t="s">
        <v>72</v>
      </c>
      <c r="BP3" s="440"/>
      <c r="BQ3" s="485"/>
      <c r="BR3" s="485"/>
      <c r="BS3" s="482"/>
      <c r="BT3" s="482"/>
      <c r="BU3" s="6"/>
      <c r="BV3" s="457" t="s">
        <v>67</v>
      </c>
      <c r="BW3" s="440"/>
      <c r="BX3" s="440"/>
      <c r="BZ3" s="475"/>
      <c r="CA3" s="475"/>
      <c r="CC3" s="211" t="s">
        <v>129</v>
      </c>
      <c r="CD3" s="210" t="s">
        <v>125</v>
      </c>
      <c r="CE3" s="211" t="s">
        <v>129</v>
      </c>
      <c r="CF3" s="210" t="s">
        <v>125</v>
      </c>
    </row>
    <row r="4" spans="1:84" ht="15.75" thickBot="1">
      <c r="A4" s="16"/>
      <c r="B4" s="493"/>
      <c r="C4" s="444"/>
      <c r="D4" s="496"/>
      <c r="E4" s="444"/>
      <c r="F4" s="18" t="s">
        <v>73</v>
      </c>
      <c r="G4" s="19" t="s">
        <v>74</v>
      </c>
      <c r="H4" s="341" t="s">
        <v>75</v>
      </c>
      <c r="I4" s="21" t="s">
        <v>76</v>
      </c>
      <c r="J4" s="21" t="s">
        <v>75</v>
      </c>
      <c r="K4" s="342" t="s">
        <v>76</v>
      </c>
      <c r="L4" s="23" t="s">
        <v>75</v>
      </c>
      <c r="M4" s="21" t="s">
        <v>76</v>
      </c>
      <c r="N4" s="21" t="s">
        <v>75</v>
      </c>
      <c r="O4" s="19" t="s">
        <v>76</v>
      </c>
      <c r="P4" s="21" t="s">
        <v>75</v>
      </c>
      <c r="Q4" s="19" t="s">
        <v>76</v>
      </c>
      <c r="R4" s="508"/>
      <c r="S4" s="424"/>
      <c r="T4" s="427"/>
      <c r="U4" s="435"/>
      <c r="V4" s="438"/>
      <c r="W4" s="441"/>
      <c r="X4" s="441"/>
      <c r="Y4" s="441"/>
      <c r="Z4" s="441"/>
      <c r="AA4" s="441"/>
      <c r="AB4" s="441"/>
      <c r="AC4" s="517"/>
      <c r="AD4" s="514"/>
      <c r="AE4" s="511"/>
      <c r="AF4" s="514"/>
      <c r="AG4" s="467"/>
      <c r="AH4" s="467"/>
      <c r="AI4" s="467"/>
      <c r="AJ4" s="470"/>
      <c r="AK4" s="520"/>
      <c r="AL4" s="421"/>
      <c r="AM4" s="470"/>
      <c r="AN4" s="421"/>
      <c r="AO4" s="421"/>
      <c r="AP4" s="470"/>
      <c r="AQ4" s="521"/>
      <c r="AR4" s="524"/>
      <c r="AS4" s="13"/>
      <c r="AT4" s="464"/>
      <c r="AU4" s="448"/>
      <c r="AV4" s="448"/>
      <c r="AW4" s="448"/>
      <c r="AX4" s="448"/>
      <c r="AY4" s="448"/>
      <c r="AZ4" s="448"/>
      <c r="BA4" s="4"/>
      <c r="BB4" s="448"/>
      <c r="BC4" s="448"/>
      <c r="BD4" s="448"/>
      <c r="BE4" s="448"/>
      <c r="BF4" s="448"/>
      <c r="BG4" s="448"/>
      <c r="BH4" s="458"/>
      <c r="BI4" s="458"/>
      <c r="BJ4" s="17" t="s">
        <v>77</v>
      </c>
      <c r="BK4" s="450"/>
      <c r="BL4" s="450"/>
      <c r="BM4" s="450"/>
      <c r="BN4" s="458"/>
      <c r="BO4" s="458"/>
      <c r="BP4" s="448"/>
      <c r="BQ4" s="486"/>
      <c r="BR4" s="486"/>
      <c r="BS4" s="483"/>
      <c r="BT4" s="483"/>
      <c r="BU4" s="6"/>
      <c r="BV4" s="458"/>
      <c r="BW4" s="448"/>
      <c r="BX4" s="448"/>
      <c r="BZ4" s="476"/>
      <c r="CA4" s="476"/>
      <c r="CC4" s="213" t="s">
        <v>126</v>
      </c>
      <c r="CD4" s="212" t="s">
        <v>127</v>
      </c>
      <c r="CE4" s="213" t="s">
        <v>126</v>
      </c>
      <c r="CF4" s="212" t="s">
        <v>127</v>
      </c>
    </row>
    <row r="5" spans="1:84" ht="15" customHeight="1">
      <c r="A5" s="451" t="s">
        <v>221</v>
      </c>
      <c r="B5" s="24">
        <v>43276</v>
      </c>
      <c r="C5" s="280">
        <v>95.6</v>
      </c>
      <c r="D5" s="281">
        <v>0.51500000000000001</v>
      </c>
      <c r="E5" s="282">
        <v>74.8</v>
      </c>
      <c r="F5" s="223">
        <v>106</v>
      </c>
      <c r="G5" s="223">
        <v>84</v>
      </c>
      <c r="H5" s="283">
        <v>24</v>
      </c>
      <c r="I5" s="283">
        <v>0</v>
      </c>
      <c r="J5" s="283">
        <v>24</v>
      </c>
      <c r="K5" s="283">
        <v>0</v>
      </c>
      <c r="L5" s="284">
        <v>0</v>
      </c>
      <c r="M5" s="284">
        <v>0</v>
      </c>
      <c r="N5" s="284">
        <v>0</v>
      </c>
      <c r="O5" s="284">
        <v>0</v>
      </c>
      <c r="P5" s="284">
        <v>12</v>
      </c>
      <c r="Q5" s="286">
        <v>0</v>
      </c>
      <c r="R5" s="285">
        <v>3435</v>
      </c>
      <c r="S5" s="286">
        <v>3168</v>
      </c>
      <c r="T5" s="286">
        <v>3168</v>
      </c>
      <c r="U5" s="286">
        <v>3100</v>
      </c>
      <c r="V5" s="287">
        <v>3209</v>
      </c>
      <c r="W5" s="283">
        <v>41</v>
      </c>
      <c r="X5" s="283">
        <v>0</v>
      </c>
      <c r="Y5" s="283">
        <v>44</v>
      </c>
      <c r="Z5" s="288">
        <v>0</v>
      </c>
      <c r="AA5" s="288">
        <v>57</v>
      </c>
      <c r="AB5" s="284">
        <v>0</v>
      </c>
      <c r="AC5" s="221">
        <f t="shared" ref="AC5:AC38" si="0">V5-U5+AZ5</f>
        <v>109</v>
      </c>
      <c r="AD5" s="222">
        <f t="shared" ref="AD5:AD38" si="1">U5-T5</f>
        <v>-68</v>
      </c>
      <c r="AE5" s="223">
        <v>142</v>
      </c>
      <c r="AF5" s="224">
        <f t="shared" ref="AF5:AF38" si="2">IF(AE5&gt;0, V5/(AE5*24),"no data")</f>
        <v>0.94160798122065725</v>
      </c>
      <c r="AG5" s="225">
        <f t="shared" ref="AG5:AG46" si="3">IF(R5&gt;0,R5/24,"no data")</f>
        <v>143.125</v>
      </c>
      <c r="AH5" s="224">
        <f t="shared" ref="AH5:AH46" si="4">IF(U5&gt;0,(U5/R5),"no data")</f>
        <v>0.90247452692867536</v>
      </c>
      <c r="AI5" s="226">
        <f t="shared" ref="AI5:AI11" si="5">IF(U5&gt;0,(1440-((W5*X5)+(Y5*Z5)+(AA5*AB5))/(W5+Y5+AA5))/1440,"no data")</f>
        <v>1</v>
      </c>
      <c r="AJ5" s="227">
        <f t="shared" ref="AJ5:AJ46" si="6">IF(U5&gt;0,(1440-((X5*W5+AT5*AU5)+(Z5*Y5+AV5*AW5)+(AA5*AB5+AX5*AY5))/(W5+Y5+AA5))/1440,"no data")</f>
        <v>0.94366197183098599</v>
      </c>
      <c r="AK5" s="255">
        <v>9.0540000000000003</v>
      </c>
      <c r="AL5" s="256">
        <v>155.85</v>
      </c>
      <c r="AM5" s="282">
        <f t="shared" ref="AM5:AM38" si="7">AK5*AL5</f>
        <v>1411.0659000000001</v>
      </c>
      <c r="AN5" s="255">
        <v>26.288</v>
      </c>
      <c r="AO5" s="323">
        <v>989.37</v>
      </c>
      <c r="AP5" s="290">
        <f t="shared" ref="AP5:AP38" si="8">AN5*AO5</f>
        <v>26008.558560000001</v>
      </c>
      <c r="AQ5" s="228">
        <f t="shared" ref="AQ5:AQ46" si="9">IF(U5&gt;0,((((AK5*AL5)+(AN5*AO5))/(U5*1000))*1000000),"no data")</f>
        <v>8845.0401483870974</v>
      </c>
      <c r="AR5" s="229">
        <f t="shared" ref="AR5:AR16" si="10">IF(S5&gt;0,S5/24, "no data")</f>
        <v>132</v>
      </c>
      <c r="AS5" s="13"/>
      <c r="AT5" s="223">
        <v>0</v>
      </c>
      <c r="AU5" s="292">
        <v>0</v>
      </c>
      <c r="AV5" s="292">
        <v>0</v>
      </c>
      <c r="AW5" s="223">
        <v>0</v>
      </c>
      <c r="AX5" s="292">
        <v>16</v>
      </c>
      <c r="AY5" s="223">
        <v>720</v>
      </c>
      <c r="AZ5" s="223">
        <v>0</v>
      </c>
      <c r="BA5" s="4"/>
      <c r="BB5" s="242">
        <v>994</v>
      </c>
      <c r="BC5" s="242">
        <v>1052</v>
      </c>
      <c r="BD5" s="242">
        <v>1163</v>
      </c>
      <c r="BE5" s="242">
        <f t="shared" ref="BE5:BE46" si="11">BC5-BB5</f>
        <v>58</v>
      </c>
      <c r="BF5" s="242">
        <f t="shared" ref="BF5:BF48" si="12">AQ5</f>
        <v>8845.0401483870974</v>
      </c>
      <c r="BG5" s="294">
        <f t="shared" ref="BG5:BG10" si="13">BD5/24</f>
        <v>48.458333333333336</v>
      </c>
      <c r="BH5" s="295">
        <v>0.95599999999999996</v>
      </c>
      <c r="BI5" s="296">
        <v>0.96</v>
      </c>
      <c r="BJ5" s="297">
        <v>27</v>
      </c>
      <c r="BK5" s="298">
        <v>25.86</v>
      </c>
      <c r="BL5" s="298">
        <v>21.22</v>
      </c>
      <c r="BM5" s="298">
        <v>26.34</v>
      </c>
      <c r="BN5" s="299">
        <v>979.8</v>
      </c>
      <c r="BO5" s="298">
        <v>50.15</v>
      </c>
      <c r="BP5" s="300">
        <v>0.94269999999999998</v>
      </c>
      <c r="BQ5" s="298">
        <v>96.43</v>
      </c>
      <c r="BR5" s="297">
        <v>87.42</v>
      </c>
      <c r="BS5" s="242">
        <v>12227</v>
      </c>
      <c r="BT5" s="242">
        <v>11627</v>
      </c>
      <c r="BU5" s="301">
        <f t="shared" ref="BU5:BU46" si="14">BT5-BS5</f>
        <v>-600</v>
      </c>
      <c r="BV5" s="344">
        <f t="shared" ref="BV5:BV10" si="15">SUM(BH5+BI5)</f>
        <v>1.9159999999999999</v>
      </c>
      <c r="BW5" s="302">
        <v>12</v>
      </c>
      <c r="BX5" s="302">
        <v>12</v>
      </c>
      <c r="BZ5" s="302">
        <v>24</v>
      </c>
      <c r="CA5" s="302">
        <v>6.9</v>
      </c>
      <c r="CC5" s="302">
        <v>2.1</v>
      </c>
      <c r="CD5" s="302">
        <v>4.2</v>
      </c>
      <c r="CE5" s="302">
        <v>2.1</v>
      </c>
      <c r="CF5" s="302">
        <v>0</v>
      </c>
    </row>
    <row r="6" spans="1:84">
      <c r="A6" s="452"/>
      <c r="B6" s="24">
        <v>43277</v>
      </c>
      <c r="C6" s="280">
        <v>97.9</v>
      </c>
      <c r="D6" s="281">
        <v>0.46800000000000003</v>
      </c>
      <c r="E6" s="282">
        <v>74.3</v>
      </c>
      <c r="F6" s="223">
        <v>108</v>
      </c>
      <c r="G6" s="223">
        <v>86</v>
      </c>
      <c r="H6" s="283">
        <v>24</v>
      </c>
      <c r="I6" s="283">
        <v>0</v>
      </c>
      <c r="J6" s="283">
        <v>24</v>
      </c>
      <c r="K6" s="283">
        <v>0</v>
      </c>
      <c r="L6" s="284">
        <v>0</v>
      </c>
      <c r="M6" s="284">
        <v>0</v>
      </c>
      <c r="N6" s="284">
        <v>0</v>
      </c>
      <c r="O6" s="284">
        <v>0</v>
      </c>
      <c r="P6" s="284">
        <v>12</v>
      </c>
      <c r="Q6" s="286">
        <v>0</v>
      </c>
      <c r="R6" s="285">
        <v>3417</v>
      </c>
      <c r="S6" s="286">
        <v>3158</v>
      </c>
      <c r="T6" s="286">
        <v>3158</v>
      </c>
      <c r="U6" s="286">
        <v>3090</v>
      </c>
      <c r="V6" s="287">
        <v>3200</v>
      </c>
      <c r="W6" s="283">
        <v>41</v>
      </c>
      <c r="X6" s="283">
        <v>0</v>
      </c>
      <c r="Y6" s="283">
        <v>44</v>
      </c>
      <c r="Z6" s="288">
        <v>0</v>
      </c>
      <c r="AA6" s="288">
        <v>57</v>
      </c>
      <c r="AB6" s="284">
        <v>0</v>
      </c>
      <c r="AC6" s="221">
        <f t="shared" si="0"/>
        <v>110</v>
      </c>
      <c r="AD6" s="222">
        <f t="shared" si="1"/>
        <v>-68</v>
      </c>
      <c r="AE6" s="223">
        <v>142</v>
      </c>
      <c r="AF6" s="224">
        <f t="shared" si="2"/>
        <v>0.93896713615023475</v>
      </c>
      <c r="AG6" s="225">
        <f t="shared" si="3"/>
        <v>142.375</v>
      </c>
      <c r="AH6" s="224">
        <f t="shared" si="4"/>
        <v>0.90430201931518872</v>
      </c>
      <c r="AI6" s="226">
        <f t="shared" si="5"/>
        <v>1</v>
      </c>
      <c r="AJ6" s="227">
        <f t="shared" si="6"/>
        <v>0.94366197183098599</v>
      </c>
      <c r="AK6" s="255">
        <v>9.0640000000000001</v>
      </c>
      <c r="AL6" s="256">
        <v>154</v>
      </c>
      <c r="AM6" s="282">
        <f t="shared" si="7"/>
        <v>1395.856</v>
      </c>
      <c r="AN6" s="255">
        <v>26.193000000000001</v>
      </c>
      <c r="AO6" s="323">
        <v>988.25300000000004</v>
      </c>
      <c r="AP6" s="290">
        <f t="shared" si="8"/>
        <v>25885.310829000002</v>
      </c>
      <c r="AQ6" s="228">
        <f t="shared" si="9"/>
        <v>8828.8565789644017</v>
      </c>
      <c r="AR6" s="229">
        <f t="shared" si="10"/>
        <v>131.58333333333334</v>
      </c>
      <c r="AS6" s="13"/>
      <c r="AT6" s="223">
        <v>0</v>
      </c>
      <c r="AU6" s="292">
        <v>0</v>
      </c>
      <c r="AV6" s="292">
        <v>0</v>
      </c>
      <c r="AW6" s="223">
        <v>0</v>
      </c>
      <c r="AX6" s="292">
        <v>16</v>
      </c>
      <c r="AY6" s="223">
        <v>720</v>
      </c>
      <c r="AZ6" s="223">
        <v>0</v>
      </c>
      <c r="BA6" s="4"/>
      <c r="BB6" s="242">
        <v>991</v>
      </c>
      <c r="BC6" s="242">
        <v>1049</v>
      </c>
      <c r="BD6" s="242">
        <v>1160</v>
      </c>
      <c r="BE6" s="242">
        <f t="shared" si="11"/>
        <v>58</v>
      </c>
      <c r="BF6" s="242">
        <f t="shared" si="12"/>
        <v>8828.8565789644017</v>
      </c>
      <c r="BG6" s="294">
        <f t="shared" si="13"/>
        <v>48.333333333333336</v>
      </c>
      <c r="BH6" s="295">
        <v>0.998</v>
      </c>
      <c r="BI6" s="296">
        <v>0.95399999999999996</v>
      </c>
      <c r="BJ6" s="297">
        <v>27</v>
      </c>
      <c r="BK6" s="298">
        <v>25.73</v>
      </c>
      <c r="BL6" s="298">
        <v>21.14</v>
      </c>
      <c r="BM6" s="298">
        <v>26.19</v>
      </c>
      <c r="BN6" s="299">
        <v>979.5</v>
      </c>
      <c r="BO6" s="298">
        <v>50.11</v>
      </c>
      <c r="BP6" s="300">
        <v>0.94230000000000003</v>
      </c>
      <c r="BQ6" s="298">
        <v>96.32</v>
      </c>
      <c r="BR6" s="297">
        <v>87.43</v>
      </c>
      <c r="BS6" s="242">
        <v>12182</v>
      </c>
      <c r="BT6" s="242">
        <v>11601</v>
      </c>
      <c r="BU6" s="301">
        <f t="shared" si="14"/>
        <v>-581</v>
      </c>
      <c r="BV6" s="344">
        <f t="shared" si="15"/>
        <v>1.952</v>
      </c>
      <c r="BW6" s="302">
        <v>12</v>
      </c>
      <c r="BX6" s="302">
        <v>12</v>
      </c>
      <c r="BZ6" s="302">
        <v>24</v>
      </c>
      <c r="CA6" s="302">
        <v>6.57</v>
      </c>
      <c r="CC6" s="302">
        <v>2.1</v>
      </c>
      <c r="CD6" s="302">
        <v>4.4000000000000004</v>
      </c>
      <c r="CE6" s="302">
        <v>2.1</v>
      </c>
      <c r="CF6" s="302">
        <v>0</v>
      </c>
    </row>
    <row r="7" spans="1:84">
      <c r="A7" s="452"/>
      <c r="B7" s="24">
        <v>43278</v>
      </c>
      <c r="C7" s="280">
        <v>89.4</v>
      </c>
      <c r="D7" s="281">
        <v>0.60899999999999999</v>
      </c>
      <c r="E7" s="282">
        <v>74.599999999999994</v>
      </c>
      <c r="F7" s="223">
        <v>97</v>
      </c>
      <c r="G7" s="223">
        <v>82</v>
      </c>
      <c r="H7" s="283">
        <v>24</v>
      </c>
      <c r="I7" s="283">
        <v>0</v>
      </c>
      <c r="J7" s="283">
        <v>24</v>
      </c>
      <c r="K7" s="283">
        <v>0</v>
      </c>
      <c r="L7" s="284">
        <v>0</v>
      </c>
      <c r="M7" s="284">
        <v>0</v>
      </c>
      <c r="N7" s="284">
        <v>0</v>
      </c>
      <c r="O7" s="284">
        <v>0</v>
      </c>
      <c r="P7" s="284">
        <v>12</v>
      </c>
      <c r="Q7" s="286">
        <v>0</v>
      </c>
      <c r="R7" s="285">
        <v>3502</v>
      </c>
      <c r="S7" s="286">
        <v>3178</v>
      </c>
      <c r="T7" s="286">
        <v>3178</v>
      </c>
      <c r="U7" s="286">
        <v>3113</v>
      </c>
      <c r="V7" s="287">
        <v>3217</v>
      </c>
      <c r="W7" s="283">
        <v>41</v>
      </c>
      <c r="X7" s="283">
        <v>0</v>
      </c>
      <c r="Y7" s="283">
        <v>44</v>
      </c>
      <c r="Z7" s="288">
        <v>0</v>
      </c>
      <c r="AA7" s="288">
        <v>57</v>
      </c>
      <c r="AB7" s="284">
        <v>0</v>
      </c>
      <c r="AC7" s="221">
        <f t="shared" si="0"/>
        <v>104</v>
      </c>
      <c r="AD7" s="222">
        <f t="shared" si="1"/>
        <v>-65</v>
      </c>
      <c r="AE7" s="223">
        <v>142</v>
      </c>
      <c r="AF7" s="224">
        <f t="shared" si="2"/>
        <v>0.94395539906103287</v>
      </c>
      <c r="AG7" s="225">
        <f t="shared" si="3"/>
        <v>145.91666666666666</v>
      </c>
      <c r="AH7" s="224">
        <f t="shared" si="4"/>
        <v>0.88892061679040546</v>
      </c>
      <c r="AI7" s="226">
        <f t="shared" si="5"/>
        <v>1</v>
      </c>
      <c r="AJ7" s="227">
        <f t="shared" si="6"/>
        <v>0.94366197183098599</v>
      </c>
      <c r="AK7" s="255">
        <v>9.0730000000000004</v>
      </c>
      <c r="AL7" s="256">
        <v>149.46</v>
      </c>
      <c r="AM7" s="282">
        <f t="shared" si="7"/>
        <v>1356.0505800000001</v>
      </c>
      <c r="AN7" s="255">
        <v>26.358000000000001</v>
      </c>
      <c r="AO7" s="323">
        <v>990.38</v>
      </c>
      <c r="AP7" s="290">
        <f t="shared" si="8"/>
        <v>26104.436040000001</v>
      </c>
      <c r="AQ7" s="228">
        <f t="shared" si="9"/>
        <v>8821.2292386765184</v>
      </c>
      <c r="AR7" s="229">
        <f t="shared" si="10"/>
        <v>132.41666666666666</v>
      </c>
      <c r="AS7" s="13"/>
      <c r="AT7" s="223">
        <v>0</v>
      </c>
      <c r="AU7" s="292">
        <v>0</v>
      </c>
      <c r="AV7" s="292">
        <v>0</v>
      </c>
      <c r="AW7" s="223">
        <v>0</v>
      </c>
      <c r="AX7" s="292">
        <v>16</v>
      </c>
      <c r="AY7" s="223">
        <v>720</v>
      </c>
      <c r="AZ7" s="223">
        <v>0</v>
      </c>
      <c r="BA7" s="4"/>
      <c r="BB7" s="242">
        <v>999</v>
      </c>
      <c r="BC7" s="242">
        <v>1051</v>
      </c>
      <c r="BD7" s="242">
        <v>1167</v>
      </c>
      <c r="BE7" s="242">
        <f t="shared" si="11"/>
        <v>52</v>
      </c>
      <c r="BF7" s="242">
        <f t="shared" si="12"/>
        <v>8821.2292386765184</v>
      </c>
      <c r="BG7" s="294">
        <f t="shared" si="13"/>
        <v>48.625</v>
      </c>
      <c r="BH7" s="295">
        <v>1.0129999999999999</v>
      </c>
      <c r="BI7" s="296">
        <v>0.998</v>
      </c>
      <c r="BJ7" s="297">
        <v>27</v>
      </c>
      <c r="BK7" s="298">
        <v>25.88</v>
      </c>
      <c r="BL7" s="298">
        <v>21.24</v>
      </c>
      <c r="BM7" s="298">
        <v>26.52</v>
      </c>
      <c r="BN7" s="299">
        <v>982.79</v>
      </c>
      <c r="BO7" s="298">
        <v>50.08</v>
      </c>
      <c r="BP7" s="300">
        <v>0.94099999999999995</v>
      </c>
      <c r="BQ7" s="298">
        <v>96.69</v>
      </c>
      <c r="BR7" s="297">
        <v>87.51</v>
      </c>
      <c r="BS7" s="242">
        <v>12177</v>
      </c>
      <c r="BT7" s="242">
        <v>11624</v>
      </c>
      <c r="BU7" s="301">
        <f t="shared" si="14"/>
        <v>-553</v>
      </c>
      <c r="BV7" s="344">
        <f t="shared" si="15"/>
        <v>2.0110000000000001</v>
      </c>
      <c r="BW7" s="302">
        <v>12</v>
      </c>
      <c r="BX7" s="302">
        <v>12</v>
      </c>
      <c r="BZ7" s="302">
        <v>24</v>
      </c>
      <c r="CA7" s="302">
        <v>6.82</v>
      </c>
      <c r="CC7" s="302">
        <v>2.1</v>
      </c>
      <c r="CD7" s="302">
        <v>4.2</v>
      </c>
      <c r="CE7" s="302">
        <v>2.2000000000000002</v>
      </c>
      <c r="CF7" s="302">
        <v>0</v>
      </c>
    </row>
    <row r="8" spans="1:84">
      <c r="A8" s="452"/>
      <c r="B8" s="24">
        <v>43279</v>
      </c>
      <c r="C8" s="280">
        <v>86.8</v>
      </c>
      <c r="D8" s="281">
        <v>0.66400000000000003</v>
      </c>
      <c r="E8" s="282">
        <v>74.8</v>
      </c>
      <c r="F8" s="223">
        <v>92</v>
      </c>
      <c r="G8" s="223">
        <v>82</v>
      </c>
      <c r="H8" s="283">
        <v>24</v>
      </c>
      <c r="I8" s="283">
        <v>0</v>
      </c>
      <c r="J8" s="283">
        <v>24</v>
      </c>
      <c r="K8" s="283">
        <v>0</v>
      </c>
      <c r="L8" s="284">
        <v>0</v>
      </c>
      <c r="M8" s="284">
        <v>0</v>
      </c>
      <c r="N8" s="284">
        <v>0</v>
      </c>
      <c r="O8" s="284">
        <v>0</v>
      </c>
      <c r="P8" s="284">
        <v>17</v>
      </c>
      <c r="Q8" s="286">
        <v>46</v>
      </c>
      <c r="R8" s="285">
        <v>3531</v>
      </c>
      <c r="S8" s="286">
        <v>3221</v>
      </c>
      <c r="T8" s="286">
        <v>3101</v>
      </c>
      <c r="U8" s="286">
        <v>3058</v>
      </c>
      <c r="V8" s="287">
        <v>3159</v>
      </c>
      <c r="W8" s="283">
        <v>41</v>
      </c>
      <c r="X8" s="283">
        <v>0</v>
      </c>
      <c r="Y8" s="283">
        <v>44</v>
      </c>
      <c r="Z8" s="288">
        <v>0</v>
      </c>
      <c r="AA8" s="288">
        <v>57</v>
      </c>
      <c r="AB8" s="284">
        <v>0</v>
      </c>
      <c r="AC8" s="221">
        <f t="shared" si="0"/>
        <v>101</v>
      </c>
      <c r="AD8" s="222">
        <f t="shared" si="1"/>
        <v>-43</v>
      </c>
      <c r="AE8" s="223">
        <v>142</v>
      </c>
      <c r="AF8" s="224">
        <f t="shared" si="2"/>
        <v>0.92693661971830987</v>
      </c>
      <c r="AG8" s="225">
        <f t="shared" si="3"/>
        <v>147.125</v>
      </c>
      <c r="AH8" s="224">
        <f t="shared" si="4"/>
        <v>0.86604361370716509</v>
      </c>
      <c r="AI8" s="226">
        <f t="shared" si="5"/>
        <v>1</v>
      </c>
      <c r="AJ8" s="227">
        <f t="shared" si="6"/>
        <v>0.92414906103286387</v>
      </c>
      <c r="AK8" s="255">
        <v>9.08</v>
      </c>
      <c r="AL8" s="256">
        <v>149.49</v>
      </c>
      <c r="AM8" s="282">
        <f t="shared" si="7"/>
        <v>1357.3692000000001</v>
      </c>
      <c r="AN8" s="255">
        <v>25.623000000000001</v>
      </c>
      <c r="AO8" s="323">
        <v>991.67</v>
      </c>
      <c r="AP8" s="290">
        <f t="shared" si="8"/>
        <v>25409.560410000002</v>
      </c>
      <c r="AQ8" s="228">
        <f t="shared" si="9"/>
        <v>8753.0835873119704</v>
      </c>
      <c r="AR8" s="229">
        <f t="shared" si="10"/>
        <v>134.20833333333334</v>
      </c>
      <c r="AS8" s="13"/>
      <c r="AT8" s="223">
        <v>0</v>
      </c>
      <c r="AU8" s="292">
        <v>0</v>
      </c>
      <c r="AV8" s="292">
        <v>0</v>
      </c>
      <c r="AW8" s="223">
        <v>0</v>
      </c>
      <c r="AX8" s="292">
        <v>15</v>
      </c>
      <c r="AY8" s="223">
        <v>1034</v>
      </c>
      <c r="AZ8" s="223">
        <v>0</v>
      </c>
      <c r="BA8" s="4"/>
      <c r="BB8" s="242">
        <v>1001</v>
      </c>
      <c r="BC8" s="242">
        <v>1057</v>
      </c>
      <c r="BD8" s="242">
        <v>1101</v>
      </c>
      <c r="BE8" s="242">
        <f t="shared" si="11"/>
        <v>56</v>
      </c>
      <c r="BF8" s="242">
        <f t="shared" si="12"/>
        <v>8753.0835873119704</v>
      </c>
      <c r="BG8" s="294">
        <f t="shared" si="13"/>
        <v>45.875</v>
      </c>
      <c r="BH8" s="295">
        <v>0.61699999999999999</v>
      </c>
      <c r="BI8" s="296">
        <v>0.61499999999999999</v>
      </c>
      <c r="BJ8" s="297">
        <v>27</v>
      </c>
      <c r="BK8" s="298">
        <v>25.87</v>
      </c>
      <c r="BL8" s="298">
        <v>21.26</v>
      </c>
      <c r="BM8" s="298">
        <v>26.38</v>
      </c>
      <c r="BN8" s="299">
        <v>985.88</v>
      </c>
      <c r="BO8" s="298">
        <v>50.13</v>
      </c>
      <c r="BP8" s="300">
        <v>0.94</v>
      </c>
      <c r="BQ8" s="298">
        <v>96.68</v>
      </c>
      <c r="BR8" s="297">
        <v>87.51</v>
      </c>
      <c r="BS8" s="242">
        <v>12130</v>
      </c>
      <c r="BT8" s="242">
        <v>11560</v>
      </c>
      <c r="BU8" s="301">
        <f t="shared" si="14"/>
        <v>-570</v>
      </c>
      <c r="BV8" s="344">
        <f t="shared" si="15"/>
        <v>1.232</v>
      </c>
      <c r="BW8" s="302">
        <v>13</v>
      </c>
      <c r="BX8" s="302">
        <v>13</v>
      </c>
      <c r="BZ8" s="302">
        <v>24</v>
      </c>
      <c r="CA8" s="302">
        <v>6.52</v>
      </c>
      <c r="CC8" s="302">
        <v>2.1</v>
      </c>
      <c r="CD8" s="302">
        <v>4.2</v>
      </c>
      <c r="CE8" s="302">
        <v>2</v>
      </c>
      <c r="CF8" s="302">
        <v>0</v>
      </c>
    </row>
    <row r="9" spans="1:84">
      <c r="A9" s="452"/>
      <c r="B9" s="24">
        <v>43280</v>
      </c>
      <c r="C9" s="280">
        <v>84.5</v>
      </c>
      <c r="D9" s="281">
        <v>0.72299999999999998</v>
      </c>
      <c r="E9" s="282">
        <v>76.5</v>
      </c>
      <c r="F9" s="223">
        <v>89</v>
      </c>
      <c r="G9" s="223">
        <v>82</v>
      </c>
      <c r="H9" s="283">
        <v>24</v>
      </c>
      <c r="I9" s="283">
        <v>0</v>
      </c>
      <c r="J9" s="283">
        <v>24</v>
      </c>
      <c r="K9" s="283">
        <v>0</v>
      </c>
      <c r="L9" s="284">
        <v>0</v>
      </c>
      <c r="M9" s="284">
        <v>0</v>
      </c>
      <c r="N9" s="284">
        <v>0</v>
      </c>
      <c r="O9" s="284">
        <v>0</v>
      </c>
      <c r="P9" s="284">
        <v>12</v>
      </c>
      <c r="Q9" s="223">
        <v>6</v>
      </c>
      <c r="R9" s="285">
        <v>3549</v>
      </c>
      <c r="S9" s="286">
        <v>3426</v>
      </c>
      <c r="T9" s="286">
        <v>3196</v>
      </c>
      <c r="U9" s="286">
        <v>3163</v>
      </c>
      <c r="V9" s="287">
        <v>3270</v>
      </c>
      <c r="W9" s="283">
        <v>41</v>
      </c>
      <c r="X9" s="283">
        <v>0</v>
      </c>
      <c r="Y9" s="283">
        <v>44</v>
      </c>
      <c r="Z9" s="288">
        <v>0</v>
      </c>
      <c r="AA9" s="288">
        <v>57</v>
      </c>
      <c r="AB9" s="284">
        <v>0</v>
      </c>
      <c r="AC9" s="221">
        <f t="shared" si="0"/>
        <v>107</v>
      </c>
      <c r="AD9" s="222">
        <f t="shared" si="1"/>
        <v>-33</v>
      </c>
      <c r="AE9" s="223">
        <v>144</v>
      </c>
      <c r="AF9" s="224">
        <f t="shared" si="2"/>
        <v>0.94618055555555558</v>
      </c>
      <c r="AG9" s="225">
        <f t="shared" si="3"/>
        <v>147.875</v>
      </c>
      <c r="AH9" s="224">
        <f t="shared" si="4"/>
        <v>0.89123696816004505</v>
      </c>
      <c r="AI9" s="226">
        <f t="shared" si="5"/>
        <v>1</v>
      </c>
      <c r="AJ9" s="227">
        <f t="shared" si="6"/>
        <v>0.95384389671361491</v>
      </c>
      <c r="AK9" s="255">
        <v>8.1479999999999997</v>
      </c>
      <c r="AL9" s="256">
        <v>141.41999999999999</v>
      </c>
      <c r="AM9" s="282">
        <f t="shared" si="7"/>
        <v>1152.2901599999998</v>
      </c>
      <c r="AN9" s="255">
        <v>26.992000000000001</v>
      </c>
      <c r="AO9" s="323">
        <v>997.36</v>
      </c>
      <c r="AP9" s="290">
        <f t="shared" si="8"/>
        <v>26920.741120000002</v>
      </c>
      <c r="AQ9" s="228">
        <f t="shared" si="9"/>
        <v>8875.444603224787</v>
      </c>
      <c r="AR9" s="229">
        <f t="shared" si="10"/>
        <v>142.75</v>
      </c>
      <c r="AS9" s="13"/>
      <c r="AT9" s="223">
        <v>0</v>
      </c>
      <c r="AU9" s="292">
        <v>0</v>
      </c>
      <c r="AV9" s="292">
        <v>0</v>
      </c>
      <c r="AW9" s="223">
        <v>0</v>
      </c>
      <c r="AX9" s="292">
        <v>13</v>
      </c>
      <c r="AY9" s="223">
        <v>726</v>
      </c>
      <c r="AZ9" s="223">
        <v>0</v>
      </c>
      <c r="BA9" s="4"/>
      <c r="BB9" s="242">
        <v>1001</v>
      </c>
      <c r="BC9" s="242">
        <v>1051</v>
      </c>
      <c r="BD9" s="242">
        <v>1218</v>
      </c>
      <c r="BE9" s="242">
        <f t="shared" si="11"/>
        <v>50</v>
      </c>
      <c r="BF9" s="242">
        <f t="shared" si="12"/>
        <v>8875.444603224787</v>
      </c>
      <c r="BG9" s="294">
        <f t="shared" si="13"/>
        <v>50.75</v>
      </c>
      <c r="BH9" s="295">
        <v>1.2210000000000001</v>
      </c>
      <c r="BI9" s="296">
        <v>1.2170000000000001</v>
      </c>
      <c r="BJ9" s="297">
        <v>27</v>
      </c>
      <c r="BK9" s="298">
        <v>25.76</v>
      </c>
      <c r="BL9" s="298">
        <v>21.4</v>
      </c>
      <c r="BM9" s="298">
        <v>24.48</v>
      </c>
      <c r="BN9" s="299">
        <v>985.46</v>
      </c>
      <c r="BO9" s="298">
        <v>50.14</v>
      </c>
      <c r="BP9" s="300">
        <v>0.94230000000000003</v>
      </c>
      <c r="BQ9" s="298">
        <v>96.8</v>
      </c>
      <c r="BR9" s="297">
        <v>87.54</v>
      </c>
      <c r="BS9" s="242">
        <v>12102</v>
      </c>
      <c r="BT9" s="242">
        <v>11529</v>
      </c>
      <c r="BU9" s="301">
        <f t="shared" si="14"/>
        <v>-573</v>
      </c>
      <c r="BV9" s="344">
        <f t="shared" si="15"/>
        <v>2.4380000000000002</v>
      </c>
      <c r="BW9" s="302">
        <v>24</v>
      </c>
      <c r="BX9" s="302">
        <v>24</v>
      </c>
      <c r="BZ9" s="302">
        <v>24</v>
      </c>
      <c r="CA9" s="302">
        <v>6.62</v>
      </c>
      <c r="CC9" s="302">
        <v>2.1</v>
      </c>
      <c r="CD9" s="302">
        <v>4.3</v>
      </c>
      <c r="CE9" s="302">
        <v>2.1</v>
      </c>
      <c r="CF9" s="302">
        <v>0</v>
      </c>
    </row>
    <row r="10" spans="1:84">
      <c r="A10" s="452"/>
      <c r="B10" s="24">
        <v>43281</v>
      </c>
      <c r="C10" s="280">
        <v>84.3</v>
      </c>
      <c r="D10" s="281">
        <v>0.79600000000000004</v>
      </c>
      <c r="E10" s="282">
        <v>79.2</v>
      </c>
      <c r="F10" s="223">
        <v>92</v>
      </c>
      <c r="G10" s="223">
        <v>78</v>
      </c>
      <c r="H10" s="283">
        <v>20</v>
      </c>
      <c r="I10" s="283">
        <v>4</v>
      </c>
      <c r="J10" s="283">
        <v>24</v>
      </c>
      <c r="K10" s="283">
        <v>0</v>
      </c>
      <c r="L10" s="284">
        <v>0</v>
      </c>
      <c r="M10" s="284">
        <v>0</v>
      </c>
      <c r="N10" s="284">
        <v>0</v>
      </c>
      <c r="O10" s="284">
        <v>0</v>
      </c>
      <c r="P10" s="284">
        <v>0</v>
      </c>
      <c r="Q10" s="280">
        <v>0</v>
      </c>
      <c r="R10" s="285">
        <v>3552</v>
      </c>
      <c r="S10" s="286">
        <v>2879</v>
      </c>
      <c r="T10" s="286">
        <v>2759</v>
      </c>
      <c r="U10" s="286">
        <v>2719</v>
      </c>
      <c r="V10" s="287">
        <v>2814</v>
      </c>
      <c r="W10" s="283">
        <v>41</v>
      </c>
      <c r="X10" s="283">
        <v>218</v>
      </c>
      <c r="Y10" s="283">
        <v>44</v>
      </c>
      <c r="Z10" s="288">
        <v>0</v>
      </c>
      <c r="AA10" s="288">
        <v>57</v>
      </c>
      <c r="AB10" s="284">
        <v>0</v>
      </c>
      <c r="AC10" s="221">
        <f t="shared" si="0"/>
        <v>95</v>
      </c>
      <c r="AD10" s="222">
        <f t="shared" si="1"/>
        <v>-40</v>
      </c>
      <c r="AE10" s="223">
        <v>131</v>
      </c>
      <c r="AF10" s="224">
        <f t="shared" si="2"/>
        <v>0.89503816793893132</v>
      </c>
      <c r="AG10" s="225">
        <f t="shared" si="3"/>
        <v>148</v>
      </c>
      <c r="AH10" s="224">
        <f t="shared" si="4"/>
        <v>0.76548423423423428</v>
      </c>
      <c r="AI10" s="226">
        <f t="shared" si="5"/>
        <v>0.95628912363067287</v>
      </c>
      <c r="AJ10" s="227">
        <f t="shared" si="6"/>
        <v>0.8275919405320814</v>
      </c>
      <c r="AK10" s="255">
        <v>9.06</v>
      </c>
      <c r="AL10" s="256">
        <v>147.07</v>
      </c>
      <c r="AM10" s="282">
        <f t="shared" si="7"/>
        <v>1332.4541999999999</v>
      </c>
      <c r="AN10" s="255">
        <v>23.047999999999998</v>
      </c>
      <c r="AO10" s="323">
        <v>985.41</v>
      </c>
      <c r="AP10" s="290">
        <f t="shared" si="8"/>
        <v>22711.729679999997</v>
      </c>
      <c r="AQ10" s="228">
        <f t="shared" si="9"/>
        <v>8843.0245972784105</v>
      </c>
      <c r="AR10" s="229">
        <f t="shared" si="10"/>
        <v>119.95833333333333</v>
      </c>
      <c r="AS10" s="13"/>
      <c r="AT10" s="223">
        <v>22</v>
      </c>
      <c r="AU10" s="292">
        <v>18</v>
      </c>
      <c r="AV10" s="292">
        <v>0</v>
      </c>
      <c r="AW10" s="223">
        <v>0</v>
      </c>
      <c r="AX10" s="292">
        <v>18</v>
      </c>
      <c r="AY10" s="223">
        <v>1440</v>
      </c>
      <c r="AZ10" s="223">
        <v>0</v>
      </c>
      <c r="BA10" s="4"/>
      <c r="BB10" s="242">
        <v>832</v>
      </c>
      <c r="BC10" s="242">
        <v>1051</v>
      </c>
      <c r="BD10" s="242">
        <v>931</v>
      </c>
      <c r="BE10" s="242">
        <f t="shared" si="11"/>
        <v>219</v>
      </c>
      <c r="BF10" s="242">
        <f t="shared" si="12"/>
        <v>8843.0245972784105</v>
      </c>
      <c r="BG10" s="294">
        <f t="shared" si="13"/>
        <v>38.791666666666664</v>
      </c>
      <c r="BH10" s="295">
        <v>0.10100000000000001</v>
      </c>
      <c r="BI10" s="296">
        <v>0.253</v>
      </c>
      <c r="BJ10" s="297">
        <v>27</v>
      </c>
      <c r="BK10" s="298">
        <v>21.98</v>
      </c>
      <c r="BL10" s="298">
        <v>21.57</v>
      </c>
      <c r="BM10" s="298">
        <v>26.04</v>
      </c>
      <c r="BN10" s="299">
        <v>984.67</v>
      </c>
      <c r="BO10" s="298">
        <v>50.13</v>
      </c>
      <c r="BP10" s="300">
        <v>0.93969999999999998</v>
      </c>
      <c r="BQ10" s="298">
        <v>97.3</v>
      </c>
      <c r="BR10" s="297">
        <v>87.66</v>
      </c>
      <c r="BS10" s="242">
        <v>12327</v>
      </c>
      <c r="BT10" s="242">
        <v>11741</v>
      </c>
      <c r="BU10" s="301">
        <f t="shared" si="14"/>
        <v>-586</v>
      </c>
      <c r="BV10" s="344">
        <f t="shared" si="15"/>
        <v>0.35399999999999998</v>
      </c>
      <c r="BW10" s="302">
        <v>6.1</v>
      </c>
      <c r="BX10" s="302">
        <v>10.119999999999999</v>
      </c>
      <c r="BZ10" s="302">
        <v>19.100000000000001</v>
      </c>
      <c r="CA10" s="302">
        <v>7.13</v>
      </c>
      <c r="CC10" s="302">
        <v>2.1</v>
      </c>
      <c r="CD10" s="302">
        <v>4.3</v>
      </c>
      <c r="CE10" s="302">
        <v>2.1</v>
      </c>
      <c r="CF10" s="302">
        <v>0</v>
      </c>
    </row>
    <row r="11" spans="1:84">
      <c r="A11" s="453"/>
      <c r="B11" s="24">
        <v>43282</v>
      </c>
      <c r="C11" s="280">
        <v>92.27</v>
      </c>
      <c r="D11" s="281">
        <v>0.70499999999999996</v>
      </c>
      <c r="E11" s="282">
        <v>81.91</v>
      </c>
      <c r="F11" s="223">
        <v>101</v>
      </c>
      <c r="G11" s="223">
        <v>84</v>
      </c>
      <c r="H11" s="283">
        <v>24</v>
      </c>
      <c r="I11" s="283">
        <v>0</v>
      </c>
      <c r="J11" s="283">
        <v>24</v>
      </c>
      <c r="K11" s="283">
        <v>0</v>
      </c>
      <c r="L11" s="284">
        <v>0</v>
      </c>
      <c r="M11" s="284">
        <v>0</v>
      </c>
      <c r="N11" s="284">
        <v>0</v>
      </c>
      <c r="O11" s="284">
        <v>0</v>
      </c>
      <c r="P11" s="284">
        <v>0</v>
      </c>
      <c r="Q11" s="280">
        <v>0</v>
      </c>
      <c r="R11" s="285">
        <v>3468</v>
      </c>
      <c r="S11" s="286">
        <v>2956</v>
      </c>
      <c r="T11" s="286">
        <v>2956</v>
      </c>
      <c r="U11" s="286">
        <v>2885</v>
      </c>
      <c r="V11" s="287">
        <v>2982</v>
      </c>
      <c r="W11" s="283">
        <v>41</v>
      </c>
      <c r="X11" s="283">
        <v>0</v>
      </c>
      <c r="Y11" s="283">
        <v>43</v>
      </c>
      <c r="Z11" s="288">
        <v>0</v>
      </c>
      <c r="AA11" s="288">
        <v>57</v>
      </c>
      <c r="AB11" s="284">
        <v>0</v>
      </c>
      <c r="AC11" s="221">
        <f t="shared" si="0"/>
        <v>97</v>
      </c>
      <c r="AD11" s="222">
        <f t="shared" si="1"/>
        <v>-71</v>
      </c>
      <c r="AE11" s="223">
        <v>126</v>
      </c>
      <c r="AF11" s="224">
        <f t="shared" si="2"/>
        <v>0.98611111111111116</v>
      </c>
      <c r="AG11" s="225">
        <f t="shared" si="3"/>
        <v>144.5</v>
      </c>
      <c r="AH11" s="224">
        <f t="shared" si="4"/>
        <v>0.83189158016147635</v>
      </c>
      <c r="AI11" s="226">
        <f t="shared" si="5"/>
        <v>1</v>
      </c>
      <c r="AJ11" s="227">
        <f t="shared" si="6"/>
        <v>0.88652482269503552</v>
      </c>
      <c r="AK11" s="345">
        <v>9.0500000000000007</v>
      </c>
      <c r="AL11" s="346">
        <v>153.34</v>
      </c>
      <c r="AM11" s="348">
        <f t="shared" si="7"/>
        <v>1387.7270000000001</v>
      </c>
      <c r="AN11" s="345">
        <v>24.295999999999999</v>
      </c>
      <c r="AO11" s="320">
        <v>982.298</v>
      </c>
      <c r="AP11" s="290">
        <f t="shared" si="8"/>
        <v>23865.912207999998</v>
      </c>
      <c r="AQ11" s="228">
        <f t="shared" si="9"/>
        <v>8753.4278017331017</v>
      </c>
      <c r="AR11" s="229">
        <f t="shared" si="10"/>
        <v>123.16666666666667</v>
      </c>
      <c r="AS11" s="13"/>
      <c r="AT11" s="223">
        <v>0</v>
      </c>
      <c r="AU11" s="292">
        <v>0</v>
      </c>
      <c r="AV11" s="292">
        <v>0</v>
      </c>
      <c r="AW11" s="223">
        <v>0</v>
      </c>
      <c r="AX11" s="292">
        <v>16</v>
      </c>
      <c r="AY11" s="223">
        <v>1440</v>
      </c>
      <c r="AZ11" s="223">
        <v>0</v>
      </c>
      <c r="BA11" s="4"/>
      <c r="BB11" s="242">
        <v>979</v>
      </c>
      <c r="BC11" s="242">
        <v>1030</v>
      </c>
      <c r="BD11" s="242">
        <v>973</v>
      </c>
      <c r="BE11" s="242">
        <f t="shared" si="11"/>
        <v>51</v>
      </c>
      <c r="BF11" s="242">
        <f t="shared" si="12"/>
        <v>8753.4278017331017</v>
      </c>
      <c r="BG11" s="294">
        <f t="shared" ref="BG11:BG38" si="16">BD11/24</f>
        <v>40.541666666666664</v>
      </c>
      <c r="BH11" s="295">
        <v>0</v>
      </c>
      <c r="BI11" s="296">
        <v>0</v>
      </c>
      <c r="BJ11" s="297">
        <v>27</v>
      </c>
      <c r="BK11" s="298">
        <v>25.81</v>
      </c>
      <c r="BL11" s="298">
        <v>21.02</v>
      </c>
      <c r="BM11" s="298">
        <v>26.33</v>
      </c>
      <c r="BN11" s="299">
        <v>982</v>
      </c>
      <c r="BO11" s="298">
        <v>50.14</v>
      </c>
      <c r="BP11" s="300">
        <v>0.94110000000000005</v>
      </c>
      <c r="BQ11" s="297">
        <v>97.15</v>
      </c>
      <c r="BR11" s="297">
        <v>87.77</v>
      </c>
      <c r="BS11" s="242">
        <v>12373</v>
      </c>
      <c r="BT11" s="242">
        <v>11751</v>
      </c>
      <c r="BU11" s="301">
        <f t="shared" si="14"/>
        <v>-622</v>
      </c>
      <c r="BV11" s="242">
        <v>0</v>
      </c>
      <c r="BW11" s="302">
        <v>0</v>
      </c>
      <c r="BX11" s="302">
        <v>0</v>
      </c>
      <c r="BZ11" s="302">
        <v>24</v>
      </c>
      <c r="CA11" s="302">
        <v>7.7</v>
      </c>
      <c r="CC11" s="302">
        <v>2.1</v>
      </c>
      <c r="CD11" s="302">
        <v>4.3</v>
      </c>
      <c r="CE11" s="302">
        <v>2.1</v>
      </c>
      <c r="CF11" s="302">
        <v>0</v>
      </c>
    </row>
    <row r="12" spans="1:84" ht="15" customHeight="1">
      <c r="A12" s="451" t="s">
        <v>244</v>
      </c>
      <c r="B12" s="24">
        <v>43283</v>
      </c>
      <c r="C12" s="157">
        <v>96.75</v>
      </c>
      <c r="D12" s="158">
        <v>0.59860000000000002</v>
      </c>
      <c r="E12" s="157">
        <v>79.5</v>
      </c>
      <c r="F12" s="159">
        <v>104</v>
      </c>
      <c r="G12" s="159">
        <v>89</v>
      </c>
      <c r="H12" s="160">
        <v>24</v>
      </c>
      <c r="I12" s="160">
        <v>0</v>
      </c>
      <c r="J12" s="160">
        <v>24</v>
      </c>
      <c r="K12" s="160">
        <v>0</v>
      </c>
      <c r="L12" s="161">
        <v>0</v>
      </c>
      <c r="M12" s="161">
        <v>0</v>
      </c>
      <c r="N12" s="161">
        <v>0</v>
      </c>
      <c r="O12" s="161">
        <v>0</v>
      </c>
      <c r="P12" s="161">
        <v>0</v>
      </c>
      <c r="Q12" s="159">
        <v>0</v>
      </c>
      <c r="R12" s="159">
        <v>3431</v>
      </c>
      <c r="S12" s="159">
        <v>2952</v>
      </c>
      <c r="T12" s="159">
        <v>2952</v>
      </c>
      <c r="U12" s="159">
        <v>2879</v>
      </c>
      <c r="V12" s="160">
        <v>2975</v>
      </c>
      <c r="W12" s="160">
        <v>41</v>
      </c>
      <c r="X12" s="160">
        <v>0</v>
      </c>
      <c r="Y12" s="160">
        <v>43</v>
      </c>
      <c r="Z12" s="161">
        <v>0</v>
      </c>
      <c r="AA12" s="161">
        <v>57</v>
      </c>
      <c r="AB12" s="161">
        <v>0</v>
      </c>
      <c r="AC12" s="165">
        <f t="shared" si="0"/>
        <v>96</v>
      </c>
      <c r="AD12" s="166">
        <f t="shared" si="1"/>
        <v>-73</v>
      </c>
      <c r="AE12" s="159">
        <v>126</v>
      </c>
      <c r="AF12" s="167">
        <f>IF(AE12&gt;0, V12/(AE12*24),"no data")</f>
        <v>0.98379629629629628</v>
      </c>
      <c r="AG12" s="168">
        <f t="shared" si="3"/>
        <v>142.95833333333334</v>
      </c>
      <c r="AH12" s="167">
        <f>IF(U12&gt;0,(U12/R12),"no data")</f>
        <v>0.83911396094433111</v>
      </c>
      <c r="AI12" s="169">
        <f>(1440-((W12*X12)+(Y12*Z12)+(AA12*AB12))/(W12+Y12+AA12))/1440</f>
        <v>1</v>
      </c>
      <c r="AJ12" s="170">
        <f t="shared" si="6"/>
        <v>0.88652482269503552</v>
      </c>
      <c r="AK12" s="273">
        <v>9.0280000000000005</v>
      </c>
      <c r="AL12" s="274">
        <v>154.07</v>
      </c>
      <c r="AM12" s="349">
        <f t="shared" si="7"/>
        <v>1390.9439600000001</v>
      </c>
      <c r="AN12" s="273">
        <v>23.803999999999998</v>
      </c>
      <c r="AO12" s="321">
        <v>997.26900000000001</v>
      </c>
      <c r="AP12" s="172">
        <f t="shared" si="8"/>
        <v>23738.991275999997</v>
      </c>
      <c r="AQ12" s="202">
        <f t="shared" si="9"/>
        <v>8728.7027565126773</v>
      </c>
      <c r="AR12" s="340">
        <f t="shared" si="10"/>
        <v>123</v>
      </c>
      <c r="AS12" s="13"/>
      <c r="AT12" s="173">
        <v>0</v>
      </c>
      <c r="AU12" s="159">
        <v>0</v>
      </c>
      <c r="AV12" s="174">
        <v>0</v>
      </c>
      <c r="AW12" s="174">
        <v>0</v>
      </c>
      <c r="AX12" s="159">
        <v>16</v>
      </c>
      <c r="AY12" s="174">
        <v>1440</v>
      </c>
      <c r="AZ12" s="159">
        <v>0</v>
      </c>
      <c r="BA12" s="4"/>
      <c r="BB12" s="159">
        <v>976</v>
      </c>
      <c r="BC12" s="159">
        <v>1027</v>
      </c>
      <c r="BD12" s="159">
        <v>972</v>
      </c>
      <c r="BE12" s="175">
        <f t="shared" si="11"/>
        <v>51</v>
      </c>
      <c r="BF12" s="176">
        <f t="shared" si="12"/>
        <v>8728.7027565126773</v>
      </c>
      <c r="BG12" s="177">
        <f t="shared" si="16"/>
        <v>40.5</v>
      </c>
      <c r="BH12" s="178">
        <v>0</v>
      </c>
      <c r="BI12" s="156">
        <v>0</v>
      </c>
      <c r="BJ12" s="177">
        <v>27</v>
      </c>
      <c r="BK12" s="175">
        <v>25.143000000000001</v>
      </c>
      <c r="BL12" s="175">
        <v>20.5</v>
      </c>
      <c r="BM12" s="175">
        <v>26.12</v>
      </c>
      <c r="BN12" s="175">
        <v>977</v>
      </c>
      <c r="BO12" s="177">
        <v>50.16</v>
      </c>
      <c r="BP12" s="180">
        <v>0.94120000000000004</v>
      </c>
      <c r="BQ12" s="186">
        <v>96.58</v>
      </c>
      <c r="BR12" s="186">
        <v>87.59</v>
      </c>
      <c r="BS12" s="179">
        <v>12089</v>
      </c>
      <c r="BT12" s="179">
        <v>11544</v>
      </c>
      <c r="BU12" s="51">
        <f t="shared" si="14"/>
        <v>-545</v>
      </c>
      <c r="BV12" s="156">
        <f>BH12+BI12</f>
        <v>0</v>
      </c>
      <c r="BW12" s="177">
        <v>0</v>
      </c>
      <c r="BX12" s="177">
        <v>0</v>
      </c>
      <c r="BZ12" s="177">
        <v>24</v>
      </c>
      <c r="CA12" s="177">
        <v>6.95</v>
      </c>
      <c r="CC12" s="177">
        <v>2.1</v>
      </c>
      <c r="CD12" s="177">
        <v>4.2</v>
      </c>
      <c r="CE12" s="177">
        <v>2</v>
      </c>
      <c r="CF12" s="177">
        <v>0</v>
      </c>
    </row>
    <row r="13" spans="1:84">
      <c r="A13" s="452"/>
      <c r="B13" s="24">
        <v>43284</v>
      </c>
      <c r="C13" s="157">
        <v>93.17</v>
      </c>
      <c r="D13" s="197">
        <v>0.59399999999999997</v>
      </c>
      <c r="E13" s="157">
        <v>76.41</v>
      </c>
      <c r="F13" s="159">
        <v>99</v>
      </c>
      <c r="G13" s="159">
        <v>84</v>
      </c>
      <c r="H13" s="160">
        <v>17</v>
      </c>
      <c r="I13" s="160">
        <v>16</v>
      </c>
      <c r="J13" s="160">
        <v>18</v>
      </c>
      <c r="K13" s="160">
        <v>36</v>
      </c>
      <c r="L13" s="161">
        <v>1</v>
      </c>
      <c r="M13" s="161">
        <v>58</v>
      </c>
      <c r="N13" s="161">
        <v>0</v>
      </c>
      <c r="O13" s="161">
        <v>0</v>
      </c>
      <c r="P13" s="161">
        <v>0</v>
      </c>
      <c r="Q13" s="159">
        <v>0</v>
      </c>
      <c r="R13" s="159">
        <v>3469</v>
      </c>
      <c r="S13" s="159">
        <v>2989</v>
      </c>
      <c r="T13" s="159">
        <v>2657</v>
      </c>
      <c r="U13" s="159">
        <v>2614</v>
      </c>
      <c r="V13" s="160">
        <v>2709</v>
      </c>
      <c r="W13" s="160">
        <v>41</v>
      </c>
      <c r="X13" s="160">
        <v>0</v>
      </c>
      <c r="Y13" s="160">
        <v>43</v>
      </c>
      <c r="Z13" s="161">
        <v>0</v>
      </c>
      <c r="AA13" s="161">
        <v>57</v>
      </c>
      <c r="AB13" s="161">
        <v>0</v>
      </c>
      <c r="AC13" s="165">
        <f t="shared" si="0"/>
        <v>95</v>
      </c>
      <c r="AD13" s="166">
        <f t="shared" si="1"/>
        <v>-43</v>
      </c>
      <c r="AE13" s="159">
        <v>127</v>
      </c>
      <c r="AF13" s="167">
        <f t="shared" si="2"/>
        <v>0.88877952755905509</v>
      </c>
      <c r="AG13" s="168">
        <f t="shared" si="3"/>
        <v>144.54166666666666</v>
      </c>
      <c r="AH13" s="167">
        <f t="shared" si="4"/>
        <v>0.75353127702507927</v>
      </c>
      <c r="AI13" s="169">
        <f>(1440-((W13*X13)+(Y13*Z13)+(AA13*AB13))/(W13+Y13+AA13))/1440</f>
        <v>1</v>
      </c>
      <c r="AJ13" s="170">
        <f t="shared" si="6"/>
        <v>0.82385736800630416</v>
      </c>
      <c r="AK13" s="273">
        <v>9.0250000000000004</v>
      </c>
      <c r="AL13" s="274">
        <v>151.68</v>
      </c>
      <c r="AM13" s="275">
        <f t="shared" si="7"/>
        <v>1368.912</v>
      </c>
      <c r="AN13" s="273">
        <v>22.146000000000001</v>
      </c>
      <c r="AO13" s="321">
        <v>990.20090000000005</v>
      </c>
      <c r="AP13" s="172">
        <f t="shared" si="8"/>
        <v>21928.989131400001</v>
      </c>
      <c r="AQ13" s="202">
        <f t="shared" si="9"/>
        <v>8912.7395299923501</v>
      </c>
      <c r="AR13" s="340">
        <f t="shared" si="10"/>
        <v>124.54166666666667</v>
      </c>
      <c r="AS13" s="13"/>
      <c r="AT13" s="173">
        <v>10</v>
      </c>
      <c r="AU13" s="159">
        <v>340</v>
      </c>
      <c r="AV13" s="174">
        <v>11</v>
      </c>
      <c r="AW13" s="174">
        <v>324</v>
      </c>
      <c r="AX13" s="159">
        <v>20</v>
      </c>
      <c r="AY13" s="174">
        <v>1440</v>
      </c>
      <c r="AZ13" s="159">
        <v>0</v>
      </c>
      <c r="BA13" s="332"/>
      <c r="BB13" s="159">
        <v>848</v>
      </c>
      <c r="BC13" s="159">
        <v>976</v>
      </c>
      <c r="BD13" s="159">
        <v>885</v>
      </c>
      <c r="BE13" s="175">
        <f t="shared" si="11"/>
        <v>128</v>
      </c>
      <c r="BF13" s="176">
        <f t="shared" si="12"/>
        <v>8912.7395299923501</v>
      </c>
      <c r="BG13" s="177">
        <f t="shared" si="16"/>
        <v>36.875</v>
      </c>
      <c r="BH13" s="178">
        <v>0</v>
      </c>
      <c r="BI13" s="156">
        <v>0</v>
      </c>
      <c r="BJ13" s="177">
        <v>27</v>
      </c>
      <c r="BK13" s="175">
        <v>22.52</v>
      </c>
      <c r="BL13" s="175">
        <v>19.93</v>
      </c>
      <c r="BM13" s="175">
        <v>26.06</v>
      </c>
      <c r="BN13" s="179">
        <v>977.42</v>
      </c>
      <c r="BO13" s="186">
        <v>50.17</v>
      </c>
      <c r="BP13" s="180">
        <v>0.94159999999999999</v>
      </c>
      <c r="BQ13" s="177">
        <v>93.93</v>
      </c>
      <c r="BR13" s="177">
        <v>87.56</v>
      </c>
      <c r="BS13" s="175">
        <v>12485</v>
      </c>
      <c r="BT13" s="175">
        <v>11922</v>
      </c>
      <c r="BU13" s="51">
        <f t="shared" si="14"/>
        <v>-563</v>
      </c>
      <c r="BV13" s="156">
        <f t="shared" ref="BV13:BV38" si="17">BH13+BI13</f>
        <v>0</v>
      </c>
      <c r="BW13" s="177">
        <v>0</v>
      </c>
      <c r="BX13" s="177">
        <v>0</v>
      </c>
      <c r="BZ13" s="177">
        <v>16.48</v>
      </c>
      <c r="CA13" s="177">
        <v>4.25</v>
      </c>
      <c r="CC13" s="177">
        <v>2.1</v>
      </c>
      <c r="CD13" s="177">
        <v>4.2</v>
      </c>
      <c r="CE13" s="177">
        <v>2</v>
      </c>
      <c r="CF13" s="177">
        <v>0</v>
      </c>
    </row>
    <row r="14" spans="1:84">
      <c r="A14" s="452"/>
      <c r="B14" s="24">
        <v>43285</v>
      </c>
      <c r="C14" s="157">
        <v>82</v>
      </c>
      <c r="D14" s="197">
        <v>0.74</v>
      </c>
      <c r="E14" s="157">
        <v>74</v>
      </c>
      <c r="F14" s="159">
        <v>89</v>
      </c>
      <c r="G14" s="159">
        <v>74</v>
      </c>
      <c r="H14" s="160">
        <v>12</v>
      </c>
      <c r="I14" s="160">
        <v>33</v>
      </c>
      <c r="J14" s="160">
        <v>24</v>
      </c>
      <c r="K14" s="160">
        <v>0</v>
      </c>
      <c r="L14" s="161">
        <v>10</v>
      </c>
      <c r="M14" s="161">
        <v>48</v>
      </c>
      <c r="N14" s="161">
        <v>0</v>
      </c>
      <c r="O14" s="161">
        <v>0</v>
      </c>
      <c r="P14" s="161">
        <v>0</v>
      </c>
      <c r="Q14" s="159">
        <v>0</v>
      </c>
      <c r="R14" s="159">
        <v>3576</v>
      </c>
      <c r="S14" s="159">
        <v>3040</v>
      </c>
      <c r="T14" s="159">
        <v>2283</v>
      </c>
      <c r="U14" s="159">
        <v>2244</v>
      </c>
      <c r="V14" s="160">
        <v>2334</v>
      </c>
      <c r="W14" s="160">
        <v>42</v>
      </c>
      <c r="X14" s="160">
        <v>0</v>
      </c>
      <c r="Y14" s="160">
        <v>44</v>
      </c>
      <c r="Z14" s="161">
        <v>0</v>
      </c>
      <c r="AA14" s="161">
        <v>57</v>
      </c>
      <c r="AB14" s="161">
        <v>0</v>
      </c>
      <c r="AC14" s="165">
        <f t="shared" si="0"/>
        <v>90</v>
      </c>
      <c r="AD14" s="166">
        <f t="shared" si="1"/>
        <v>-39</v>
      </c>
      <c r="AE14" s="159">
        <v>128</v>
      </c>
      <c r="AF14" s="167">
        <f t="shared" si="2"/>
        <v>0.759765625</v>
      </c>
      <c r="AG14" s="168">
        <f t="shared" si="3"/>
        <v>149</v>
      </c>
      <c r="AH14" s="167">
        <f t="shared" si="4"/>
        <v>0.62751677852348997</v>
      </c>
      <c r="AI14" s="169">
        <f>(1440-((W14*X14)+(Y14*Z14)+(AA14*AB14))/(W14+Y14+AA14))/1440</f>
        <v>1</v>
      </c>
      <c r="AJ14" s="170">
        <f t="shared" si="6"/>
        <v>0.81382575757575759</v>
      </c>
      <c r="AK14" s="273">
        <v>9.0380000000000003</v>
      </c>
      <c r="AL14" s="274">
        <v>147.24</v>
      </c>
      <c r="AM14" s="275">
        <f t="shared" si="7"/>
        <v>1330.75512</v>
      </c>
      <c r="AN14" s="273">
        <v>18.655999999999999</v>
      </c>
      <c r="AO14" s="321">
        <v>995.28</v>
      </c>
      <c r="AP14" s="172">
        <f t="shared" si="8"/>
        <v>18567.943679999997</v>
      </c>
      <c r="AQ14" s="202">
        <f t="shared" si="9"/>
        <v>8867.5128342245989</v>
      </c>
      <c r="AR14" s="340">
        <f t="shared" si="10"/>
        <v>126.66666666666667</v>
      </c>
      <c r="AS14" s="13"/>
      <c r="AT14" s="182">
        <v>23</v>
      </c>
      <c r="AU14" s="159">
        <v>39</v>
      </c>
      <c r="AV14" s="174">
        <v>0</v>
      </c>
      <c r="AW14" s="174">
        <v>0</v>
      </c>
      <c r="AX14" s="159">
        <v>26</v>
      </c>
      <c r="AY14" s="174">
        <v>1440</v>
      </c>
      <c r="AZ14" s="159">
        <v>0</v>
      </c>
      <c r="BA14" s="332"/>
      <c r="BB14" s="159">
        <v>534</v>
      </c>
      <c r="BC14" s="159">
        <v>1061</v>
      </c>
      <c r="BD14" s="159">
        <v>739</v>
      </c>
      <c r="BE14" s="175">
        <f t="shared" si="11"/>
        <v>527</v>
      </c>
      <c r="BF14" s="176">
        <f t="shared" si="12"/>
        <v>8867.5128342245989</v>
      </c>
      <c r="BG14" s="177">
        <f t="shared" si="16"/>
        <v>30.791666666666668</v>
      </c>
      <c r="BH14" s="178">
        <v>0</v>
      </c>
      <c r="BI14" s="156">
        <v>0</v>
      </c>
      <c r="BJ14" s="177">
        <v>26.91</v>
      </c>
      <c r="BK14" s="175">
        <v>13.97</v>
      </c>
      <c r="BL14" s="175">
        <v>21.17</v>
      </c>
      <c r="BM14" s="175">
        <v>26.09</v>
      </c>
      <c r="BN14" s="179">
        <v>981.3</v>
      </c>
      <c r="BO14" s="179">
        <v>50.11</v>
      </c>
      <c r="BP14" s="180">
        <v>0.9405</v>
      </c>
      <c r="BQ14" s="177">
        <v>96.04</v>
      </c>
      <c r="BR14" s="177">
        <v>87.36</v>
      </c>
      <c r="BS14" s="175">
        <v>12136</v>
      </c>
      <c r="BT14" s="175">
        <v>11437</v>
      </c>
      <c r="BU14" s="51">
        <f t="shared" si="14"/>
        <v>-699</v>
      </c>
      <c r="BV14" s="156">
        <f t="shared" si="17"/>
        <v>0</v>
      </c>
      <c r="BW14" s="177">
        <v>0</v>
      </c>
      <c r="BX14" s="177">
        <v>0</v>
      </c>
      <c r="BZ14" s="177">
        <v>11.72</v>
      </c>
      <c r="CA14" s="177">
        <v>6.27</v>
      </c>
      <c r="CC14" s="177">
        <v>2.1</v>
      </c>
      <c r="CD14" s="177">
        <v>4.3</v>
      </c>
      <c r="CE14" s="177">
        <v>2</v>
      </c>
      <c r="CF14" s="177">
        <v>0</v>
      </c>
    </row>
    <row r="15" spans="1:84">
      <c r="A15" s="452"/>
      <c r="B15" s="24">
        <v>43286</v>
      </c>
      <c r="C15" s="157">
        <v>86.6</v>
      </c>
      <c r="D15" s="197">
        <v>0.71499999999999997</v>
      </c>
      <c r="E15" s="157">
        <v>77.400000000000006</v>
      </c>
      <c r="F15" s="183">
        <v>92</v>
      </c>
      <c r="G15" s="183">
        <v>81</v>
      </c>
      <c r="H15" s="160">
        <v>14</v>
      </c>
      <c r="I15" s="160">
        <v>19</v>
      </c>
      <c r="J15" s="160">
        <v>24</v>
      </c>
      <c r="K15" s="160">
        <v>0</v>
      </c>
      <c r="L15" s="161">
        <v>8</v>
      </c>
      <c r="M15" s="161">
        <v>45</v>
      </c>
      <c r="N15" s="161">
        <v>0</v>
      </c>
      <c r="O15" s="161">
        <v>0</v>
      </c>
      <c r="P15" s="161">
        <v>0</v>
      </c>
      <c r="Q15" s="159">
        <v>0</v>
      </c>
      <c r="R15" s="159">
        <v>3531</v>
      </c>
      <c r="S15" s="159">
        <v>3008</v>
      </c>
      <c r="T15" s="159">
        <v>2480</v>
      </c>
      <c r="U15" s="159">
        <v>2350</v>
      </c>
      <c r="V15" s="160">
        <v>2441</v>
      </c>
      <c r="W15" s="160">
        <v>41</v>
      </c>
      <c r="X15" s="160">
        <v>0</v>
      </c>
      <c r="Y15" s="160">
        <v>44</v>
      </c>
      <c r="Z15" s="161">
        <v>0</v>
      </c>
      <c r="AA15" s="161">
        <v>57</v>
      </c>
      <c r="AB15" s="161">
        <v>0</v>
      </c>
      <c r="AC15" s="165">
        <f t="shared" si="0"/>
        <v>91</v>
      </c>
      <c r="AD15" s="166">
        <f t="shared" si="1"/>
        <v>-130</v>
      </c>
      <c r="AE15" s="159">
        <v>127</v>
      </c>
      <c r="AF15" s="167">
        <f t="shared" si="2"/>
        <v>0.8008530183727034</v>
      </c>
      <c r="AG15" s="168">
        <f t="shared" si="3"/>
        <v>147.125</v>
      </c>
      <c r="AH15" s="167">
        <f t="shared" si="4"/>
        <v>0.6655338431039366</v>
      </c>
      <c r="AI15" s="169">
        <f>(1440-((W15*X15)+(Y15*Z15)+(AA15*AB15))/(W15+Y15+AA15))/1440</f>
        <v>1</v>
      </c>
      <c r="AJ15" s="170">
        <f t="shared" si="6"/>
        <v>0.81901408450704227</v>
      </c>
      <c r="AK15" s="273">
        <v>9.032</v>
      </c>
      <c r="AL15" s="274">
        <v>149.35</v>
      </c>
      <c r="AM15" s="275">
        <f t="shared" si="7"/>
        <v>1348.9292</v>
      </c>
      <c r="AN15" s="273">
        <v>19.718</v>
      </c>
      <c r="AO15" s="321">
        <v>996.19636880008113</v>
      </c>
      <c r="AP15" s="172">
        <f t="shared" si="8"/>
        <v>19643</v>
      </c>
      <c r="AQ15" s="202">
        <f t="shared" si="9"/>
        <v>8932.7358297872324</v>
      </c>
      <c r="AR15" s="340">
        <f t="shared" si="10"/>
        <v>125.33333333333333</v>
      </c>
      <c r="AS15" s="13"/>
      <c r="AT15" s="159">
        <v>18</v>
      </c>
      <c r="AU15" s="174">
        <v>56</v>
      </c>
      <c r="AV15" s="174">
        <v>0</v>
      </c>
      <c r="AW15" s="159">
        <v>0</v>
      </c>
      <c r="AX15" s="174">
        <v>25</v>
      </c>
      <c r="AY15" s="159">
        <v>1440</v>
      </c>
      <c r="AZ15" s="159">
        <v>0</v>
      </c>
      <c r="BA15" s="332"/>
      <c r="BB15" s="175">
        <v>611</v>
      </c>
      <c r="BC15" s="175">
        <v>1048</v>
      </c>
      <c r="BD15" s="184">
        <v>782</v>
      </c>
      <c r="BE15" s="175">
        <f t="shared" si="11"/>
        <v>437</v>
      </c>
      <c r="BF15" s="177">
        <f t="shared" si="12"/>
        <v>8932.7358297872324</v>
      </c>
      <c r="BG15" s="177">
        <f t="shared" si="16"/>
        <v>32.583333333333336</v>
      </c>
      <c r="BH15" s="178">
        <v>0</v>
      </c>
      <c r="BI15" s="156">
        <v>0</v>
      </c>
      <c r="BJ15" s="177">
        <v>27</v>
      </c>
      <c r="BK15" s="175">
        <v>15.89</v>
      </c>
      <c r="BL15" s="175">
        <v>21</v>
      </c>
      <c r="BM15" s="175">
        <v>25.9</v>
      </c>
      <c r="BN15" s="179">
        <v>983.9</v>
      </c>
      <c r="BO15" s="179">
        <v>50.11</v>
      </c>
      <c r="BP15" s="185">
        <v>0.94059999999999999</v>
      </c>
      <c r="BQ15" s="177">
        <v>96.33</v>
      </c>
      <c r="BR15" s="177">
        <v>87.4</v>
      </c>
      <c r="BS15" s="175">
        <v>12042</v>
      </c>
      <c r="BT15" s="175">
        <v>11512</v>
      </c>
      <c r="BU15" s="51">
        <f t="shared" si="14"/>
        <v>-530</v>
      </c>
      <c r="BV15" s="156">
        <f t="shared" si="17"/>
        <v>0</v>
      </c>
      <c r="BW15" s="177">
        <v>0</v>
      </c>
      <c r="BX15" s="177">
        <v>0</v>
      </c>
      <c r="BZ15" s="177">
        <v>13.3</v>
      </c>
      <c r="CA15" s="177">
        <v>7.1</v>
      </c>
      <c r="CC15" s="177">
        <v>2.1</v>
      </c>
      <c r="CD15" s="177" t="s">
        <v>251</v>
      </c>
      <c r="CE15" s="177">
        <v>2.1</v>
      </c>
      <c r="CF15" s="177">
        <v>0</v>
      </c>
    </row>
    <row r="16" spans="1:84">
      <c r="A16" s="452"/>
      <c r="B16" s="24">
        <v>43287</v>
      </c>
      <c r="C16" s="157">
        <v>91.5</v>
      </c>
      <c r="D16" s="197">
        <v>0.60199999999999998</v>
      </c>
      <c r="E16" s="157">
        <v>76.400000000000006</v>
      </c>
      <c r="F16" s="159">
        <v>100</v>
      </c>
      <c r="G16" s="159">
        <v>81</v>
      </c>
      <c r="H16" s="159">
        <v>24</v>
      </c>
      <c r="I16" s="159">
        <v>0</v>
      </c>
      <c r="J16" s="159">
        <v>24</v>
      </c>
      <c r="K16" s="159">
        <v>0</v>
      </c>
      <c r="L16" s="161">
        <v>0</v>
      </c>
      <c r="M16" s="161">
        <v>0</v>
      </c>
      <c r="N16" s="161">
        <v>0</v>
      </c>
      <c r="O16" s="161">
        <v>0</v>
      </c>
      <c r="P16" s="161">
        <v>0</v>
      </c>
      <c r="Q16" s="159">
        <v>0</v>
      </c>
      <c r="R16" s="159">
        <v>3481</v>
      </c>
      <c r="S16" s="159">
        <v>3001</v>
      </c>
      <c r="T16" s="159">
        <v>3001</v>
      </c>
      <c r="U16" s="159">
        <v>2933</v>
      </c>
      <c r="V16" s="159">
        <v>3030</v>
      </c>
      <c r="W16" s="159">
        <v>41</v>
      </c>
      <c r="X16" s="159">
        <v>0</v>
      </c>
      <c r="Y16" s="159">
        <v>44</v>
      </c>
      <c r="Z16" s="161">
        <v>0</v>
      </c>
      <c r="AA16" s="161">
        <v>57</v>
      </c>
      <c r="AB16" s="161">
        <v>0</v>
      </c>
      <c r="AC16" s="165">
        <f t="shared" si="0"/>
        <v>97</v>
      </c>
      <c r="AD16" s="166">
        <f t="shared" si="1"/>
        <v>-68</v>
      </c>
      <c r="AE16" s="159">
        <v>129</v>
      </c>
      <c r="AF16" s="167">
        <f t="shared" si="2"/>
        <v>0.97868217054263562</v>
      </c>
      <c r="AG16" s="168">
        <f t="shared" si="3"/>
        <v>145.04166666666666</v>
      </c>
      <c r="AH16" s="167">
        <f t="shared" si="4"/>
        <v>0.84257397299626546</v>
      </c>
      <c r="AI16" s="169">
        <f>IF(U16&gt;0,(1440-((W16*X16)+(Y16*Z16)+(AA16*AB16))/(W16+Y16+AA16))/1440,"no data")</f>
        <v>1</v>
      </c>
      <c r="AJ16" s="170">
        <f t="shared" si="6"/>
        <v>0.88732394366197187</v>
      </c>
      <c r="AK16" s="306">
        <v>9.0350000000000001</v>
      </c>
      <c r="AL16" s="307">
        <v>151.68</v>
      </c>
      <c r="AM16" s="171">
        <f t="shared" si="7"/>
        <v>1370.4288000000001</v>
      </c>
      <c r="AN16" s="306">
        <v>24.495000000000001</v>
      </c>
      <c r="AO16" s="331">
        <v>989.67136150234739</v>
      </c>
      <c r="AP16" s="172">
        <f t="shared" si="8"/>
        <v>24242</v>
      </c>
      <c r="AQ16" s="202">
        <f t="shared" si="9"/>
        <v>8732.5021479713596</v>
      </c>
      <c r="AR16" s="340">
        <f t="shared" si="10"/>
        <v>125.04166666666667</v>
      </c>
      <c r="AS16" s="13"/>
      <c r="AT16" s="159">
        <v>0</v>
      </c>
      <c r="AU16" s="159">
        <v>0</v>
      </c>
      <c r="AV16" s="159">
        <v>0</v>
      </c>
      <c r="AW16" s="159">
        <v>0</v>
      </c>
      <c r="AX16" s="159">
        <v>16</v>
      </c>
      <c r="AY16" s="159">
        <v>1440</v>
      </c>
      <c r="AZ16" s="159">
        <v>0</v>
      </c>
      <c r="BA16" s="332"/>
      <c r="BB16" s="175">
        <v>995</v>
      </c>
      <c r="BC16" s="175">
        <v>1046</v>
      </c>
      <c r="BD16" s="175">
        <v>989</v>
      </c>
      <c r="BE16" s="175">
        <f t="shared" si="11"/>
        <v>51</v>
      </c>
      <c r="BF16" s="177">
        <f t="shared" si="12"/>
        <v>8732.5021479713596</v>
      </c>
      <c r="BG16" s="177">
        <f t="shared" si="16"/>
        <v>41.208333333333336</v>
      </c>
      <c r="BH16" s="178">
        <v>0</v>
      </c>
      <c r="BI16" s="156">
        <v>0</v>
      </c>
      <c r="BJ16" s="177">
        <v>27</v>
      </c>
      <c r="BK16" s="175">
        <v>25.49</v>
      </c>
      <c r="BL16" s="175">
        <v>20.98</v>
      </c>
      <c r="BM16" s="175">
        <v>25.88</v>
      </c>
      <c r="BN16" s="179">
        <v>984.3</v>
      </c>
      <c r="BO16" s="179">
        <v>50.08</v>
      </c>
      <c r="BP16" s="185"/>
      <c r="BQ16" s="177">
        <v>97</v>
      </c>
      <c r="BR16" s="177">
        <v>87.45</v>
      </c>
      <c r="BS16" s="175">
        <v>12030</v>
      </c>
      <c r="BT16" s="175">
        <v>11528</v>
      </c>
      <c r="BU16" s="51">
        <f t="shared" si="14"/>
        <v>-502</v>
      </c>
      <c r="BV16" s="156">
        <f t="shared" si="17"/>
        <v>0</v>
      </c>
      <c r="BW16" s="177">
        <v>0</v>
      </c>
      <c r="BX16" s="177">
        <v>0</v>
      </c>
      <c r="BZ16" s="177">
        <v>24</v>
      </c>
      <c r="CA16" s="177">
        <v>6.9</v>
      </c>
      <c r="CC16" s="177">
        <v>2.1</v>
      </c>
      <c r="CD16" s="177">
        <v>4.5999999999999996</v>
      </c>
      <c r="CE16" s="177">
        <v>2.1</v>
      </c>
      <c r="CF16" s="177">
        <v>0</v>
      </c>
    </row>
    <row r="17" spans="1:84">
      <c r="A17" s="452"/>
      <c r="B17" s="24">
        <v>43288</v>
      </c>
      <c r="C17" s="157">
        <v>95.5</v>
      </c>
      <c r="D17" s="197">
        <v>0.60399999999999998</v>
      </c>
      <c r="E17" s="157">
        <v>79.599999999999994</v>
      </c>
      <c r="F17" s="159">
        <v>105</v>
      </c>
      <c r="G17" s="159">
        <v>85</v>
      </c>
      <c r="H17" s="159">
        <v>24</v>
      </c>
      <c r="I17" s="159">
        <v>0</v>
      </c>
      <c r="J17" s="159">
        <v>24</v>
      </c>
      <c r="K17" s="159">
        <v>0</v>
      </c>
      <c r="L17" s="161">
        <v>0</v>
      </c>
      <c r="M17" s="161">
        <v>0</v>
      </c>
      <c r="N17" s="161">
        <v>0</v>
      </c>
      <c r="O17" s="161">
        <v>0</v>
      </c>
      <c r="P17" s="161">
        <v>0</v>
      </c>
      <c r="Q17" s="159">
        <v>0</v>
      </c>
      <c r="R17" s="159">
        <v>3441</v>
      </c>
      <c r="S17" s="159">
        <v>2950</v>
      </c>
      <c r="T17" s="159">
        <v>2950</v>
      </c>
      <c r="U17" s="159">
        <v>2881</v>
      </c>
      <c r="V17" s="159">
        <v>2975</v>
      </c>
      <c r="W17" s="159">
        <v>40</v>
      </c>
      <c r="X17" s="159">
        <v>0</v>
      </c>
      <c r="Y17" s="159">
        <v>43</v>
      </c>
      <c r="Z17" s="161">
        <v>0</v>
      </c>
      <c r="AA17" s="161">
        <v>57</v>
      </c>
      <c r="AB17" s="161">
        <v>0</v>
      </c>
      <c r="AC17" s="165">
        <f t="shared" si="0"/>
        <v>94</v>
      </c>
      <c r="AD17" s="166">
        <f t="shared" si="1"/>
        <v>-69</v>
      </c>
      <c r="AE17" s="159">
        <v>126</v>
      </c>
      <c r="AF17" s="167">
        <f t="shared" si="2"/>
        <v>0.98379629629629628</v>
      </c>
      <c r="AG17" s="168">
        <f t="shared" si="3"/>
        <v>143.375</v>
      </c>
      <c r="AH17" s="167">
        <f t="shared" si="4"/>
        <v>0.83725661145015984</v>
      </c>
      <c r="AI17" s="169">
        <f t="shared" ref="AI17:AI46" si="18">IF(U17&gt;0,(1440-((W17*X17)+(Y17*Z17)+(AA17*AB17))/(W17+Y17+AA17))/1440,"no data")</f>
        <v>1</v>
      </c>
      <c r="AJ17" s="170">
        <f t="shared" si="6"/>
        <v>0.88571428571428568</v>
      </c>
      <c r="AK17" s="306">
        <v>9.0399999999999991</v>
      </c>
      <c r="AL17" s="307">
        <v>150.62</v>
      </c>
      <c r="AM17" s="171">
        <f t="shared" si="7"/>
        <v>1361.6047999999998</v>
      </c>
      <c r="AN17" s="306">
        <v>24.178999999999998</v>
      </c>
      <c r="AO17" s="331">
        <v>986.59994209851527</v>
      </c>
      <c r="AP17" s="172">
        <f t="shared" si="8"/>
        <v>23855</v>
      </c>
      <c r="AQ17" s="202">
        <f t="shared" si="9"/>
        <v>8752.7264144394321</v>
      </c>
      <c r="AR17" s="340">
        <f t="shared" ref="AR17:AR46" si="19">IF(S17&gt;0,S17/24, "no data")</f>
        <v>122.91666666666667</v>
      </c>
      <c r="AS17" s="13"/>
      <c r="AT17" s="159">
        <v>0</v>
      </c>
      <c r="AU17" s="159">
        <v>0</v>
      </c>
      <c r="AV17" s="159">
        <v>0</v>
      </c>
      <c r="AW17" s="159">
        <v>0</v>
      </c>
      <c r="AX17" s="159">
        <v>16</v>
      </c>
      <c r="AY17" s="159">
        <v>1440</v>
      </c>
      <c r="AZ17" s="159">
        <v>0</v>
      </c>
      <c r="BA17" s="332"/>
      <c r="BB17" s="175">
        <v>973</v>
      </c>
      <c r="BC17" s="175">
        <v>1026</v>
      </c>
      <c r="BD17" s="175">
        <v>976</v>
      </c>
      <c r="BE17" s="175">
        <f t="shared" si="11"/>
        <v>53</v>
      </c>
      <c r="BF17" s="177">
        <f t="shared" si="12"/>
        <v>8752.7264144394321</v>
      </c>
      <c r="BG17" s="177">
        <f t="shared" si="16"/>
        <v>40.666666666666664</v>
      </c>
      <c r="BH17" s="178">
        <v>0</v>
      </c>
      <c r="BI17" s="156">
        <v>0</v>
      </c>
      <c r="BJ17" s="177">
        <v>25.2</v>
      </c>
      <c r="BK17" s="175">
        <v>25.16</v>
      </c>
      <c r="BL17" s="175">
        <v>20.78</v>
      </c>
      <c r="BM17" s="175">
        <v>25.65</v>
      </c>
      <c r="BN17" s="186">
        <v>981.8</v>
      </c>
      <c r="BO17" s="179">
        <v>50.08</v>
      </c>
      <c r="BP17" s="185"/>
      <c r="BQ17" s="177">
        <v>96.28</v>
      </c>
      <c r="BR17" s="186">
        <v>87.56</v>
      </c>
      <c r="BS17" s="175">
        <v>12127</v>
      </c>
      <c r="BT17" s="175">
        <v>11635</v>
      </c>
      <c r="BU17" s="51">
        <f t="shared" si="14"/>
        <v>-492</v>
      </c>
      <c r="BV17" s="156">
        <f t="shared" si="17"/>
        <v>0</v>
      </c>
      <c r="BW17" s="177">
        <v>0</v>
      </c>
      <c r="BX17" s="177">
        <v>0</v>
      </c>
      <c r="BZ17" s="177">
        <v>24</v>
      </c>
      <c r="CA17" s="177">
        <v>6.5</v>
      </c>
      <c r="CC17" s="177">
        <v>2.1</v>
      </c>
      <c r="CD17" s="177">
        <v>4.5999999999999996</v>
      </c>
      <c r="CE17" s="177">
        <v>2.1</v>
      </c>
      <c r="CF17" s="177">
        <v>0</v>
      </c>
    </row>
    <row r="18" spans="1:84">
      <c r="A18" s="453"/>
      <c r="B18" s="24">
        <v>43289</v>
      </c>
      <c r="C18" s="157">
        <v>97.5</v>
      </c>
      <c r="D18" s="197">
        <v>0.57599999999999996</v>
      </c>
      <c r="E18" s="157">
        <v>79.7</v>
      </c>
      <c r="F18" s="159">
        <v>108</v>
      </c>
      <c r="G18" s="159">
        <v>87</v>
      </c>
      <c r="H18" s="159">
        <v>24</v>
      </c>
      <c r="I18" s="159">
        <v>0</v>
      </c>
      <c r="J18" s="159">
        <v>24</v>
      </c>
      <c r="K18" s="159">
        <v>0</v>
      </c>
      <c r="L18" s="159">
        <v>0</v>
      </c>
      <c r="M18" s="159">
        <v>0</v>
      </c>
      <c r="N18" s="187">
        <v>0</v>
      </c>
      <c r="O18" s="187">
        <v>0</v>
      </c>
      <c r="P18" s="187">
        <v>0</v>
      </c>
      <c r="Q18" s="159">
        <v>0</v>
      </c>
      <c r="R18" s="159">
        <v>3421</v>
      </c>
      <c r="S18" s="159">
        <v>2937</v>
      </c>
      <c r="T18" s="159">
        <v>2937</v>
      </c>
      <c r="U18" s="159">
        <v>2870</v>
      </c>
      <c r="V18" s="159">
        <v>2969</v>
      </c>
      <c r="W18" s="159">
        <v>40</v>
      </c>
      <c r="X18" s="159">
        <v>0</v>
      </c>
      <c r="Y18" s="159">
        <v>43</v>
      </c>
      <c r="Z18" s="159">
        <v>0</v>
      </c>
      <c r="AA18" s="159">
        <v>57</v>
      </c>
      <c r="AB18" s="187">
        <v>0</v>
      </c>
      <c r="AC18" s="165">
        <f t="shared" si="0"/>
        <v>99</v>
      </c>
      <c r="AD18" s="166">
        <f t="shared" si="1"/>
        <v>-67</v>
      </c>
      <c r="AE18" s="159">
        <v>125</v>
      </c>
      <c r="AF18" s="167">
        <f t="shared" si="2"/>
        <v>0.98966666666666669</v>
      </c>
      <c r="AG18" s="168">
        <f t="shared" si="3"/>
        <v>142.54166666666666</v>
      </c>
      <c r="AH18" s="167">
        <f>IF(U18&gt;0,(U18/R18),"no data")</f>
        <v>0.83893598363051736</v>
      </c>
      <c r="AI18" s="169">
        <f t="shared" si="18"/>
        <v>1</v>
      </c>
      <c r="AJ18" s="170">
        <f t="shared" si="6"/>
        <v>0.88571428571428568</v>
      </c>
      <c r="AK18" s="306">
        <v>9.0289999999999999</v>
      </c>
      <c r="AL18" s="307">
        <v>151</v>
      </c>
      <c r="AM18" s="171">
        <f t="shared" si="7"/>
        <v>1363.3789999999999</v>
      </c>
      <c r="AN18" s="306">
        <v>24.024999999999999</v>
      </c>
      <c r="AO18" s="331">
        <v>986.44</v>
      </c>
      <c r="AP18" s="172">
        <f t="shared" si="8"/>
        <v>23699.221000000001</v>
      </c>
      <c r="AQ18" s="202">
        <f t="shared" si="9"/>
        <v>8732.6132404181189</v>
      </c>
      <c r="AR18" s="340">
        <f t="shared" si="19"/>
        <v>122.375</v>
      </c>
      <c r="AS18" s="13"/>
      <c r="AT18" s="159">
        <v>0</v>
      </c>
      <c r="AU18" s="159">
        <v>0</v>
      </c>
      <c r="AV18" s="159">
        <v>0</v>
      </c>
      <c r="AW18" s="159">
        <v>0</v>
      </c>
      <c r="AX18" s="174">
        <v>16</v>
      </c>
      <c r="AY18" s="159">
        <v>1440</v>
      </c>
      <c r="AZ18" s="159">
        <v>0</v>
      </c>
      <c r="BA18" s="332"/>
      <c r="BB18" s="175">
        <v>970</v>
      </c>
      <c r="BC18" s="175">
        <v>1026</v>
      </c>
      <c r="BD18" s="175">
        <v>973</v>
      </c>
      <c r="BE18" s="175">
        <f t="shared" si="11"/>
        <v>56</v>
      </c>
      <c r="BF18" s="177">
        <f t="shared" si="12"/>
        <v>8732.6132404181189</v>
      </c>
      <c r="BG18" s="177">
        <f t="shared" si="16"/>
        <v>40.541666666666664</v>
      </c>
      <c r="BH18" s="178">
        <v>0</v>
      </c>
      <c r="BI18" s="156">
        <v>0</v>
      </c>
      <c r="BJ18" s="177">
        <v>25</v>
      </c>
      <c r="BK18" s="175">
        <v>25.01</v>
      </c>
      <c r="BL18" s="175">
        <v>20.71</v>
      </c>
      <c r="BM18" s="175">
        <v>25.53</v>
      </c>
      <c r="BN18" s="186">
        <v>979.88</v>
      </c>
      <c r="BO18" s="179">
        <v>50.09</v>
      </c>
      <c r="BP18" s="180">
        <v>0.94240000000000002</v>
      </c>
      <c r="BQ18" s="186">
        <v>96.06</v>
      </c>
      <c r="BR18" s="186">
        <v>87.54</v>
      </c>
      <c r="BS18" s="175">
        <v>12105</v>
      </c>
      <c r="BT18" s="175">
        <v>11609</v>
      </c>
      <c r="BU18" s="51">
        <f t="shared" si="14"/>
        <v>-496</v>
      </c>
      <c r="BV18" s="156">
        <f t="shared" si="17"/>
        <v>0</v>
      </c>
      <c r="BW18" s="177">
        <v>0</v>
      </c>
      <c r="BX18" s="177">
        <v>0</v>
      </c>
      <c r="BZ18" s="177">
        <v>24</v>
      </c>
      <c r="CA18" s="177">
        <v>6.62</v>
      </c>
      <c r="CC18" s="177">
        <v>2.1</v>
      </c>
      <c r="CD18" s="177">
        <v>4.5999999999999996</v>
      </c>
      <c r="CE18" s="177">
        <v>2.2000000000000002</v>
      </c>
      <c r="CF18" s="177">
        <v>0</v>
      </c>
    </row>
    <row r="19" spans="1:84" ht="15" customHeight="1">
      <c r="A19" s="451" t="s">
        <v>245</v>
      </c>
      <c r="B19" s="24">
        <v>43290</v>
      </c>
      <c r="C19" s="25">
        <v>96.9</v>
      </c>
      <c r="D19" s="26">
        <v>0.54100000000000004</v>
      </c>
      <c r="E19" s="25">
        <v>77</v>
      </c>
      <c r="F19" s="27">
        <v>106</v>
      </c>
      <c r="G19" s="27">
        <v>88</v>
      </c>
      <c r="H19" s="27">
        <v>24</v>
      </c>
      <c r="I19" s="27">
        <v>0</v>
      </c>
      <c r="J19" s="27">
        <v>24</v>
      </c>
      <c r="K19" s="27">
        <v>0</v>
      </c>
      <c r="L19" s="27">
        <v>0</v>
      </c>
      <c r="M19" s="27">
        <v>0</v>
      </c>
      <c r="N19" s="29">
        <v>0</v>
      </c>
      <c r="O19" s="29">
        <v>0</v>
      </c>
      <c r="P19" s="29">
        <v>0</v>
      </c>
      <c r="Q19" s="27">
        <v>0</v>
      </c>
      <c r="R19" s="251">
        <v>3426</v>
      </c>
      <c r="S19" s="253">
        <v>2964</v>
      </c>
      <c r="T19" s="27">
        <v>2964</v>
      </c>
      <c r="U19" s="27">
        <v>2888</v>
      </c>
      <c r="V19" s="27">
        <v>2986</v>
      </c>
      <c r="W19" s="27">
        <v>41</v>
      </c>
      <c r="X19" s="27">
        <v>0</v>
      </c>
      <c r="Y19" s="27">
        <v>43</v>
      </c>
      <c r="Z19" s="27">
        <v>0</v>
      </c>
      <c r="AA19" s="27">
        <v>57</v>
      </c>
      <c r="AB19" s="29">
        <v>0</v>
      </c>
      <c r="AC19" s="32">
        <f t="shared" si="0"/>
        <v>98</v>
      </c>
      <c r="AD19" s="33">
        <f t="shared" si="1"/>
        <v>-76</v>
      </c>
      <c r="AE19" s="27">
        <v>126</v>
      </c>
      <c r="AF19" s="34">
        <f t="shared" si="2"/>
        <v>0.98743386243386244</v>
      </c>
      <c r="AG19" s="35">
        <f t="shared" si="3"/>
        <v>142.75</v>
      </c>
      <c r="AH19" s="34">
        <f t="shared" si="4"/>
        <v>0.84296555750145941</v>
      </c>
      <c r="AI19" s="226">
        <f t="shared" si="18"/>
        <v>1</v>
      </c>
      <c r="AJ19" s="37">
        <f t="shared" si="6"/>
        <v>0.88652482269503552</v>
      </c>
      <c r="AK19" s="255">
        <v>8.7279999999999998</v>
      </c>
      <c r="AL19" s="256">
        <v>152.46</v>
      </c>
      <c r="AM19" s="38">
        <f t="shared" si="7"/>
        <v>1330.6708800000001</v>
      </c>
      <c r="AN19" s="255">
        <v>24.184000000000001</v>
      </c>
      <c r="AO19" s="320">
        <v>988.79420000000005</v>
      </c>
      <c r="AP19" s="39">
        <f t="shared" si="8"/>
        <v>23912.998932800001</v>
      </c>
      <c r="AQ19" s="201">
        <f t="shared" si="9"/>
        <v>8740.8828991689752</v>
      </c>
      <c r="AR19" s="229">
        <f t="shared" si="19"/>
        <v>123.5</v>
      </c>
      <c r="AS19" s="13"/>
      <c r="AT19" s="27">
        <v>0</v>
      </c>
      <c r="AU19" s="40">
        <v>0</v>
      </c>
      <c r="AV19" s="40">
        <v>0</v>
      </c>
      <c r="AW19" s="27">
        <v>0</v>
      </c>
      <c r="AX19" s="40">
        <v>16</v>
      </c>
      <c r="AY19" s="27">
        <v>1440</v>
      </c>
      <c r="AZ19" s="27">
        <v>0</v>
      </c>
      <c r="BA19" s="332"/>
      <c r="BB19" s="52">
        <v>977</v>
      </c>
      <c r="BC19" s="52">
        <v>1029</v>
      </c>
      <c r="BD19" s="52">
        <v>980</v>
      </c>
      <c r="BE19" s="41">
        <f t="shared" si="11"/>
        <v>52</v>
      </c>
      <c r="BF19" s="41">
        <f t="shared" si="12"/>
        <v>8740.8828991689752</v>
      </c>
      <c r="BG19" s="60">
        <f t="shared" si="16"/>
        <v>40.833333333333336</v>
      </c>
      <c r="BH19" s="61">
        <v>0</v>
      </c>
      <c r="BI19" s="62">
        <v>0</v>
      </c>
      <c r="BJ19" s="42">
        <v>25</v>
      </c>
      <c r="BK19" s="41">
        <v>25.13</v>
      </c>
      <c r="BL19" s="41">
        <v>20.8</v>
      </c>
      <c r="BM19" s="41">
        <v>25.26</v>
      </c>
      <c r="BN19" s="54">
        <v>978.92</v>
      </c>
      <c r="BO19" s="63">
        <v>50.09</v>
      </c>
      <c r="BP19" s="64">
        <v>0.94259999999999999</v>
      </c>
      <c r="BQ19" s="42">
        <v>95.92</v>
      </c>
      <c r="BR19" s="42">
        <v>87.44</v>
      </c>
      <c r="BS19" s="41">
        <v>12067</v>
      </c>
      <c r="BT19" s="41">
        <v>11577</v>
      </c>
      <c r="BU19" s="51">
        <f t="shared" si="14"/>
        <v>-490</v>
      </c>
      <c r="BV19" s="41">
        <f t="shared" si="17"/>
        <v>0</v>
      </c>
      <c r="BW19" s="42">
        <v>0</v>
      </c>
      <c r="BX19" s="42">
        <v>0</v>
      </c>
      <c r="BZ19" s="42">
        <v>24</v>
      </c>
      <c r="CA19" s="42">
        <v>6.52</v>
      </c>
      <c r="CC19" s="42">
        <v>2.2000000000000002</v>
      </c>
      <c r="CD19" s="42">
        <v>4.5999999999999996</v>
      </c>
      <c r="CE19" s="42">
        <v>2.1</v>
      </c>
      <c r="CF19" s="42">
        <v>0</v>
      </c>
    </row>
    <row r="20" spans="1:84">
      <c r="A20" s="452"/>
      <c r="B20" s="24">
        <v>43291</v>
      </c>
      <c r="C20" s="25">
        <v>97.8</v>
      </c>
      <c r="D20" s="26">
        <v>0.55100000000000005</v>
      </c>
      <c r="E20" s="25">
        <v>77.8</v>
      </c>
      <c r="F20" s="27">
        <v>108</v>
      </c>
      <c r="G20" s="27">
        <v>88</v>
      </c>
      <c r="H20" s="27">
        <v>24</v>
      </c>
      <c r="I20" s="27">
        <v>0</v>
      </c>
      <c r="J20" s="27">
        <v>24</v>
      </c>
      <c r="K20" s="27">
        <v>0</v>
      </c>
      <c r="L20" s="29">
        <v>0</v>
      </c>
      <c r="M20" s="29">
        <v>0</v>
      </c>
      <c r="N20" s="29">
        <v>0</v>
      </c>
      <c r="O20" s="29">
        <v>0</v>
      </c>
      <c r="P20" s="29">
        <v>0</v>
      </c>
      <c r="Q20" s="27">
        <v>0</v>
      </c>
      <c r="R20" s="252">
        <v>3420</v>
      </c>
      <c r="S20" s="253">
        <v>2946</v>
      </c>
      <c r="T20" s="27">
        <v>2946</v>
      </c>
      <c r="U20" s="27">
        <v>2875</v>
      </c>
      <c r="V20" s="27">
        <v>2974</v>
      </c>
      <c r="W20" s="27">
        <v>41</v>
      </c>
      <c r="X20" s="27">
        <v>0</v>
      </c>
      <c r="Y20" s="27">
        <v>43</v>
      </c>
      <c r="Z20" s="29">
        <v>0</v>
      </c>
      <c r="AA20" s="29">
        <v>57</v>
      </c>
      <c r="AB20" s="29">
        <v>0</v>
      </c>
      <c r="AC20" s="32">
        <f t="shared" si="0"/>
        <v>99</v>
      </c>
      <c r="AD20" s="33">
        <f t="shared" si="1"/>
        <v>-71</v>
      </c>
      <c r="AE20" s="27">
        <v>125</v>
      </c>
      <c r="AF20" s="34">
        <f t="shared" si="2"/>
        <v>0.99133333333333329</v>
      </c>
      <c r="AG20" s="35">
        <f t="shared" si="3"/>
        <v>142.5</v>
      </c>
      <c r="AH20" s="34">
        <f t="shared" si="4"/>
        <v>0.84064327485380119</v>
      </c>
      <c r="AI20" s="226">
        <f t="shared" si="18"/>
        <v>1</v>
      </c>
      <c r="AJ20" s="37">
        <f t="shared" si="6"/>
        <v>0.88652482269503552</v>
      </c>
      <c r="AK20" s="255">
        <v>8.6530000000000005</v>
      </c>
      <c r="AL20" s="256">
        <v>155.27000000000001</v>
      </c>
      <c r="AM20" s="38">
        <f t="shared" si="7"/>
        <v>1343.5513100000001</v>
      </c>
      <c r="AN20" s="255">
        <v>24.138000000000002</v>
      </c>
      <c r="AO20" s="320">
        <v>985.21</v>
      </c>
      <c r="AP20" s="39">
        <f t="shared" si="8"/>
        <v>23780.998980000004</v>
      </c>
      <c r="AQ20" s="201">
        <f t="shared" si="9"/>
        <v>8738.9740139130445</v>
      </c>
      <c r="AR20" s="229">
        <f t="shared" si="19"/>
        <v>122.75</v>
      </c>
      <c r="AS20" s="13"/>
      <c r="AT20" s="27">
        <v>0</v>
      </c>
      <c r="AU20" s="40">
        <v>0</v>
      </c>
      <c r="AV20" s="40">
        <v>0</v>
      </c>
      <c r="AW20" s="40">
        <v>0</v>
      </c>
      <c r="AX20" s="40">
        <v>16</v>
      </c>
      <c r="AY20" s="40">
        <v>1440</v>
      </c>
      <c r="AZ20" s="27">
        <v>0</v>
      </c>
      <c r="BA20" s="332"/>
      <c r="BB20" s="52">
        <v>973</v>
      </c>
      <c r="BC20" s="52">
        <v>1026</v>
      </c>
      <c r="BD20" s="52">
        <v>975</v>
      </c>
      <c r="BE20" s="41">
        <f t="shared" si="11"/>
        <v>53</v>
      </c>
      <c r="BF20" s="41">
        <f t="shared" si="12"/>
        <v>8738.9740139130445</v>
      </c>
      <c r="BG20" s="60">
        <f t="shared" si="16"/>
        <v>40.625</v>
      </c>
      <c r="BH20" s="43">
        <v>0</v>
      </c>
      <c r="BI20" s="44">
        <v>0</v>
      </c>
      <c r="BJ20" s="45">
        <v>25</v>
      </c>
      <c r="BK20" s="47">
        <v>25.04</v>
      </c>
      <c r="BL20" s="47">
        <v>20.75</v>
      </c>
      <c r="BM20" s="47">
        <v>24.49</v>
      </c>
      <c r="BN20" s="45">
        <v>979.79</v>
      </c>
      <c r="BO20" s="45">
        <v>50.1</v>
      </c>
      <c r="BP20" s="48">
        <v>0.94169999999999998</v>
      </c>
      <c r="BQ20" s="42">
        <v>96.04</v>
      </c>
      <c r="BR20" s="42">
        <v>87.51</v>
      </c>
      <c r="BS20" s="41">
        <v>12073</v>
      </c>
      <c r="BT20" s="41">
        <v>11552</v>
      </c>
      <c r="BU20" s="51">
        <f t="shared" si="14"/>
        <v>-521</v>
      </c>
      <c r="BV20" s="41">
        <f t="shared" si="17"/>
        <v>0</v>
      </c>
      <c r="BW20" s="42">
        <v>0</v>
      </c>
      <c r="BX20" s="42">
        <v>0</v>
      </c>
      <c r="BZ20" s="42">
        <v>24</v>
      </c>
      <c r="CA20" s="42">
        <v>6.9</v>
      </c>
      <c r="CC20" s="42">
        <v>2.2000000000000002</v>
      </c>
      <c r="CD20" s="42">
        <v>4.5</v>
      </c>
      <c r="CE20" s="42">
        <v>2.1</v>
      </c>
      <c r="CF20" s="42">
        <v>0</v>
      </c>
    </row>
    <row r="21" spans="1:84">
      <c r="A21" s="452"/>
      <c r="B21" s="24">
        <v>43292</v>
      </c>
      <c r="C21" s="25">
        <v>97</v>
      </c>
      <c r="D21" s="26">
        <v>0.54700000000000004</v>
      </c>
      <c r="E21" s="25">
        <v>77.3</v>
      </c>
      <c r="F21" s="27">
        <v>106</v>
      </c>
      <c r="G21" s="27">
        <v>91</v>
      </c>
      <c r="H21" s="27">
        <v>24</v>
      </c>
      <c r="I21" s="27">
        <v>0</v>
      </c>
      <c r="J21" s="27">
        <v>24</v>
      </c>
      <c r="K21" s="27">
        <v>0</v>
      </c>
      <c r="L21" s="29">
        <v>0</v>
      </c>
      <c r="M21" s="29">
        <v>0</v>
      </c>
      <c r="N21" s="29">
        <v>0</v>
      </c>
      <c r="O21" s="29">
        <v>0</v>
      </c>
      <c r="P21" s="29">
        <v>0</v>
      </c>
      <c r="Q21" s="27">
        <v>0</v>
      </c>
      <c r="R21" s="252">
        <v>3427</v>
      </c>
      <c r="S21" s="253">
        <v>2955</v>
      </c>
      <c r="T21" s="253">
        <v>2955</v>
      </c>
      <c r="U21" s="253">
        <v>2880</v>
      </c>
      <c r="V21" s="253">
        <v>2983</v>
      </c>
      <c r="W21" s="27">
        <v>41</v>
      </c>
      <c r="X21" s="27">
        <v>0</v>
      </c>
      <c r="Y21" s="27">
        <v>43</v>
      </c>
      <c r="Z21" s="29">
        <v>0</v>
      </c>
      <c r="AA21" s="29">
        <v>57</v>
      </c>
      <c r="AB21" s="29">
        <v>0</v>
      </c>
      <c r="AC21" s="32">
        <f t="shared" si="0"/>
        <v>103</v>
      </c>
      <c r="AD21" s="33">
        <f t="shared" si="1"/>
        <v>-75</v>
      </c>
      <c r="AE21" s="27">
        <v>126</v>
      </c>
      <c r="AF21" s="34">
        <f t="shared" si="2"/>
        <v>0.98644179894179895</v>
      </c>
      <c r="AG21" s="35">
        <f t="shared" si="3"/>
        <v>142.79166666666666</v>
      </c>
      <c r="AH21" s="34">
        <f>IF(U21&gt;0,(U21/R21),"no data")</f>
        <v>0.84038517653924716</v>
      </c>
      <c r="AI21" s="226">
        <f t="shared" si="18"/>
        <v>1</v>
      </c>
      <c r="AJ21" s="37">
        <f t="shared" si="6"/>
        <v>0.88652482269503552</v>
      </c>
      <c r="AK21" s="255">
        <v>8.6219999999999999</v>
      </c>
      <c r="AL21" s="256">
        <v>155.72</v>
      </c>
      <c r="AM21" s="38">
        <f t="shared" si="7"/>
        <v>1342.6178399999999</v>
      </c>
      <c r="AN21" s="255">
        <v>24.050999999999998</v>
      </c>
      <c r="AO21" s="320">
        <v>989.31437362271845</v>
      </c>
      <c r="AP21" s="39">
        <f t="shared" si="8"/>
        <v>23794</v>
      </c>
      <c r="AQ21" s="201">
        <f t="shared" si="9"/>
        <v>8727.9923055555555</v>
      </c>
      <c r="AR21" s="229">
        <f t="shared" si="19"/>
        <v>123.125</v>
      </c>
      <c r="AS21" s="13"/>
      <c r="AT21" s="27">
        <v>0</v>
      </c>
      <c r="AU21" s="40">
        <v>0</v>
      </c>
      <c r="AV21" s="40">
        <v>0</v>
      </c>
      <c r="AW21" s="27">
        <v>0</v>
      </c>
      <c r="AX21" s="40">
        <v>16</v>
      </c>
      <c r="AY21" s="27">
        <v>1440</v>
      </c>
      <c r="AZ21" s="27">
        <v>0</v>
      </c>
      <c r="BA21" s="332"/>
      <c r="BB21" s="52">
        <v>975</v>
      </c>
      <c r="BC21" s="52">
        <v>1031</v>
      </c>
      <c r="BD21" s="52">
        <v>977</v>
      </c>
      <c r="BE21" s="41">
        <f t="shared" si="11"/>
        <v>56</v>
      </c>
      <c r="BF21" s="41">
        <f t="shared" si="12"/>
        <v>8727.9923055555555</v>
      </c>
      <c r="BG21" s="60">
        <f t="shared" si="16"/>
        <v>40.708333333333336</v>
      </c>
      <c r="BH21" s="43">
        <v>0</v>
      </c>
      <c r="BI21" s="44">
        <v>0</v>
      </c>
      <c r="BJ21" s="45">
        <v>25</v>
      </c>
      <c r="BK21" s="45">
        <v>25.02</v>
      </c>
      <c r="BL21" s="47">
        <v>20.74</v>
      </c>
      <c r="BM21" s="47">
        <v>24.95</v>
      </c>
      <c r="BN21" s="45">
        <v>978.54</v>
      </c>
      <c r="BO21" s="45">
        <v>50.11</v>
      </c>
      <c r="BP21" s="48">
        <v>0.94169999999999998</v>
      </c>
      <c r="BQ21" s="42">
        <v>95.9</v>
      </c>
      <c r="BR21" s="42">
        <v>87.48</v>
      </c>
      <c r="BS21" s="41">
        <v>12052</v>
      </c>
      <c r="BT21" s="41">
        <v>11520</v>
      </c>
      <c r="BU21" s="51">
        <f t="shared" si="14"/>
        <v>-532</v>
      </c>
      <c r="BV21" s="41">
        <f t="shared" si="17"/>
        <v>0</v>
      </c>
      <c r="BW21" s="42">
        <v>0</v>
      </c>
      <c r="BX21" s="42">
        <v>0</v>
      </c>
      <c r="BZ21" s="42">
        <v>24</v>
      </c>
      <c r="CA21" s="42">
        <v>6.47</v>
      </c>
      <c r="CC21" s="42">
        <v>2.2000000000000002</v>
      </c>
      <c r="CD21" s="42">
        <v>4.5999999999999996</v>
      </c>
      <c r="CE21" s="42">
        <v>2.1</v>
      </c>
      <c r="CF21" s="42">
        <v>0</v>
      </c>
    </row>
    <row r="22" spans="1:84">
      <c r="A22" s="452"/>
      <c r="B22" s="24">
        <v>43293</v>
      </c>
      <c r="C22" s="25">
        <v>95.6</v>
      </c>
      <c r="D22" s="26">
        <v>0.59099999999999997</v>
      </c>
      <c r="E22" s="38">
        <v>79.3</v>
      </c>
      <c r="F22" s="27">
        <v>104</v>
      </c>
      <c r="G22" s="27">
        <v>89</v>
      </c>
      <c r="H22" s="27">
        <v>24</v>
      </c>
      <c r="I22" s="27">
        <v>0</v>
      </c>
      <c r="J22" s="27">
        <v>24</v>
      </c>
      <c r="K22" s="27">
        <v>0</v>
      </c>
      <c r="L22" s="29">
        <v>0</v>
      </c>
      <c r="M22" s="29">
        <v>0</v>
      </c>
      <c r="N22" s="29">
        <v>0</v>
      </c>
      <c r="O22" s="29">
        <v>0</v>
      </c>
      <c r="P22" s="29">
        <v>0</v>
      </c>
      <c r="Q22" s="27">
        <v>0</v>
      </c>
      <c r="R22" s="252">
        <v>3441</v>
      </c>
      <c r="S22" s="253">
        <v>2933</v>
      </c>
      <c r="T22" s="27">
        <v>2933</v>
      </c>
      <c r="U22" s="27">
        <v>2869</v>
      </c>
      <c r="V22" s="27">
        <v>2970</v>
      </c>
      <c r="W22" s="27">
        <v>41</v>
      </c>
      <c r="X22" s="27">
        <v>0</v>
      </c>
      <c r="Y22" s="27">
        <v>43</v>
      </c>
      <c r="Z22" s="29">
        <v>0</v>
      </c>
      <c r="AA22" s="29">
        <v>57</v>
      </c>
      <c r="AB22" s="29">
        <v>0</v>
      </c>
      <c r="AC22" s="32">
        <f t="shared" si="0"/>
        <v>101</v>
      </c>
      <c r="AD22" s="33">
        <f t="shared" si="1"/>
        <v>-64</v>
      </c>
      <c r="AE22" s="27">
        <v>125</v>
      </c>
      <c r="AF22" s="34">
        <f t="shared" si="2"/>
        <v>0.99</v>
      </c>
      <c r="AG22" s="35">
        <f t="shared" si="3"/>
        <v>143.375</v>
      </c>
      <c r="AH22" s="34">
        <f t="shared" si="4"/>
        <v>0.83376925312409178</v>
      </c>
      <c r="AI22" s="226">
        <f t="shared" si="18"/>
        <v>1</v>
      </c>
      <c r="AJ22" s="37">
        <f t="shared" si="6"/>
        <v>0.87943262411347511</v>
      </c>
      <c r="AK22" s="255">
        <v>8.5570000000000004</v>
      </c>
      <c r="AL22" s="256">
        <v>156.16</v>
      </c>
      <c r="AM22" s="38">
        <f t="shared" si="7"/>
        <v>1336.2611200000001</v>
      </c>
      <c r="AN22" s="255">
        <v>24.039000000000001</v>
      </c>
      <c r="AO22" s="320">
        <v>984.46</v>
      </c>
      <c r="AP22" s="39">
        <f t="shared" si="8"/>
        <v>23665.433940000003</v>
      </c>
      <c r="AQ22" s="201">
        <f t="shared" si="9"/>
        <v>8714.4283931683512</v>
      </c>
      <c r="AR22" s="229">
        <f t="shared" si="19"/>
        <v>122.20833333333333</v>
      </c>
      <c r="AS22" s="13"/>
      <c r="AT22" s="27">
        <v>0</v>
      </c>
      <c r="AU22" s="40">
        <v>0</v>
      </c>
      <c r="AV22" s="40">
        <v>0</v>
      </c>
      <c r="AW22" s="27">
        <v>0</v>
      </c>
      <c r="AX22" s="40">
        <v>17</v>
      </c>
      <c r="AY22" s="27">
        <v>1440</v>
      </c>
      <c r="AZ22" s="27">
        <v>0</v>
      </c>
      <c r="BA22" s="332"/>
      <c r="BB22" s="52">
        <v>969</v>
      </c>
      <c r="BC22" s="52">
        <v>1027</v>
      </c>
      <c r="BD22" s="52">
        <v>974</v>
      </c>
      <c r="BE22" s="41">
        <f t="shared" si="11"/>
        <v>58</v>
      </c>
      <c r="BF22" s="41">
        <f t="shared" si="12"/>
        <v>8714.4283931683512</v>
      </c>
      <c r="BG22" s="60">
        <f t="shared" si="16"/>
        <v>40.583333333333336</v>
      </c>
      <c r="BH22" s="43">
        <v>0</v>
      </c>
      <c r="BI22" s="44">
        <v>0</v>
      </c>
      <c r="BJ22" s="45">
        <v>24.9</v>
      </c>
      <c r="BK22" s="47">
        <v>25.08</v>
      </c>
      <c r="BL22" s="47">
        <v>20.75</v>
      </c>
      <c r="BM22" s="47">
        <v>24.76</v>
      </c>
      <c r="BN22" s="45">
        <v>977.8</v>
      </c>
      <c r="BO22" s="45">
        <v>50.12</v>
      </c>
      <c r="BP22" s="48">
        <v>0.94189999999999996</v>
      </c>
      <c r="BQ22" s="42">
        <v>96</v>
      </c>
      <c r="BR22" s="42">
        <v>87.5</v>
      </c>
      <c r="BS22" s="41">
        <v>12119</v>
      </c>
      <c r="BT22" s="41">
        <v>11565</v>
      </c>
      <c r="BU22" s="51">
        <f t="shared" si="14"/>
        <v>-554</v>
      </c>
      <c r="BV22" s="41">
        <f t="shared" si="17"/>
        <v>0</v>
      </c>
      <c r="BW22" s="42">
        <v>0</v>
      </c>
      <c r="BX22" s="42">
        <v>0</v>
      </c>
      <c r="BZ22" s="42">
        <v>24</v>
      </c>
      <c r="CA22" s="42">
        <v>6.8</v>
      </c>
      <c r="CC22" s="42">
        <v>2.2000000000000002</v>
      </c>
      <c r="CD22" s="42">
        <v>4.7</v>
      </c>
      <c r="CE22" s="42">
        <v>2.1</v>
      </c>
      <c r="CF22" s="42">
        <v>0</v>
      </c>
    </row>
    <row r="23" spans="1:84">
      <c r="A23" s="452"/>
      <c r="B23" s="24">
        <v>43294</v>
      </c>
      <c r="C23" s="25">
        <v>97.2</v>
      </c>
      <c r="D23" s="26">
        <v>0.57999999999999996</v>
      </c>
      <c r="E23" s="38">
        <v>78.8</v>
      </c>
      <c r="F23" s="28">
        <v>106</v>
      </c>
      <c r="G23" s="28">
        <v>89</v>
      </c>
      <c r="H23" s="28">
        <v>24</v>
      </c>
      <c r="I23" s="28">
        <v>0</v>
      </c>
      <c r="J23" s="28">
        <v>24</v>
      </c>
      <c r="K23" s="28">
        <v>0</v>
      </c>
      <c r="L23" s="28">
        <v>0</v>
      </c>
      <c r="M23" s="28">
        <v>0</v>
      </c>
      <c r="N23" s="28">
        <v>0</v>
      </c>
      <c r="O23" s="28">
        <v>0</v>
      </c>
      <c r="P23" s="28">
        <v>0</v>
      </c>
      <c r="Q23" s="27">
        <v>0</v>
      </c>
      <c r="R23" s="252">
        <v>3424</v>
      </c>
      <c r="S23" s="253">
        <v>2930</v>
      </c>
      <c r="T23" s="28">
        <v>2930</v>
      </c>
      <c r="U23" s="28">
        <v>2857</v>
      </c>
      <c r="V23" s="28">
        <v>2961</v>
      </c>
      <c r="W23" s="28">
        <v>40</v>
      </c>
      <c r="X23" s="28">
        <v>0</v>
      </c>
      <c r="Y23" s="28">
        <v>43</v>
      </c>
      <c r="Z23" s="28">
        <v>0</v>
      </c>
      <c r="AA23" s="28">
        <v>57</v>
      </c>
      <c r="AB23" s="28">
        <v>0</v>
      </c>
      <c r="AC23" s="32">
        <f>V23-U23+AZ23</f>
        <v>104</v>
      </c>
      <c r="AD23" s="33">
        <f t="shared" si="1"/>
        <v>-73</v>
      </c>
      <c r="AE23" s="28">
        <v>125</v>
      </c>
      <c r="AF23" s="34">
        <f t="shared" si="2"/>
        <v>0.98699999999999999</v>
      </c>
      <c r="AG23" s="35">
        <f t="shared" si="3"/>
        <v>142.66666666666666</v>
      </c>
      <c r="AH23" s="34">
        <f t="shared" si="4"/>
        <v>0.83440420560747663</v>
      </c>
      <c r="AI23" s="226">
        <f t="shared" si="18"/>
        <v>1</v>
      </c>
      <c r="AJ23" s="37">
        <f t="shared" si="6"/>
        <v>0.88571428571428568</v>
      </c>
      <c r="AK23" s="255">
        <v>8.5619999999999994</v>
      </c>
      <c r="AL23" s="256">
        <v>155.05000000000001</v>
      </c>
      <c r="AM23" s="38">
        <f t="shared" si="7"/>
        <v>1327.5381</v>
      </c>
      <c r="AN23" s="255">
        <v>23.93</v>
      </c>
      <c r="AO23" s="320">
        <v>988.42457166736313</v>
      </c>
      <c r="AP23" s="39">
        <f t="shared" si="8"/>
        <v>23653</v>
      </c>
      <c r="AQ23" s="201">
        <f t="shared" si="9"/>
        <v>8743.6255162758152</v>
      </c>
      <c r="AR23" s="229">
        <f t="shared" si="19"/>
        <v>122.08333333333333</v>
      </c>
      <c r="AS23" s="13"/>
      <c r="AT23" s="28">
        <v>0</v>
      </c>
      <c r="AU23" s="40">
        <v>0</v>
      </c>
      <c r="AV23" s="40">
        <v>0</v>
      </c>
      <c r="AW23" s="27">
        <v>0</v>
      </c>
      <c r="AX23" s="28">
        <v>16</v>
      </c>
      <c r="AY23" s="28">
        <v>1440</v>
      </c>
      <c r="AZ23" s="28">
        <v>0</v>
      </c>
      <c r="BA23" s="332"/>
      <c r="BB23" s="52">
        <v>967</v>
      </c>
      <c r="BC23" s="52">
        <v>1022</v>
      </c>
      <c r="BD23" s="52">
        <v>972</v>
      </c>
      <c r="BE23" s="41">
        <f t="shared" si="11"/>
        <v>55</v>
      </c>
      <c r="BF23" s="41">
        <f t="shared" si="12"/>
        <v>8743.6255162758152</v>
      </c>
      <c r="BG23" s="60">
        <f t="shared" si="16"/>
        <v>40.5</v>
      </c>
      <c r="BH23" s="71">
        <v>0</v>
      </c>
      <c r="BI23" s="71">
        <v>0</v>
      </c>
      <c r="BJ23" s="72">
        <v>24.5</v>
      </c>
      <c r="BK23" s="72">
        <v>24.89</v>
      </c>
      <c r="BL23" s="72">
        <v>20.66</v>
      </c>
      <c r="BM23" s="72">
        <v>24.5</v>
      </c>
      <c r="BN23" s="73">
        <v>978.58</v>
      </c>
      <c r="BO23" s="73">
        <v>50.07</v>
      </c>
      <c r="BP23" s="74">
        <v>0.94269999999999998</v>
      </c>
      <c r="BQ23" s="54">
        <v>95.44</v>
      </c>
      <c r="BR23" s="54">
        <v>87.53</v>
      </c>
      <c r="BS23" s="55">
        <v>12105</v>
      </c>
      <c r="BT23" s="55">
        <v>11563</v>
      </c>
      <c r="BU23" s="51">
        <f t="shared" si="14"/>
        <v>-542</v>
      </c>
      <c r="BV23" s="41">
        <f t="shared" si="17"/>
        <v>0</v>
      </c>
      <c r="BW23" s="73">
        <v>0</v>
      </c>
      <c r="BX23" s="73">
        <v>0</v>
      </c>
      <c r="BZ23" s="73">
        <v>24</v>
      </c>
      <c r="CA23" s="73">
        <v>7</v>
      </c>
      <c r="CC23" s="73">
        <v>2.1</v>
      </c>
      <c r="CD23" s="73">
        <v>4.5999999999999996</v>
      </c>
      <c r="CE23" s="73">
        <v>2.1</v>
      </c>
      <c r="CF23" s="73">
        <v>0</v>
      </c>
    </row>
    <row r="24" spans="1:84">
      <c r="A24" s="452"/>
      <c r="B24" s="24">
        <v>43295</v>
      </c>
      <c r="C24" s="25">
        <v>96.4</v>
      </c>
      <c r="D24" s="26">
        <v>0.61</v>
      </c>
      <c r="E24" s="38">
        <v>80.8</v>
      </c>
      <c r="F24" s="75">
        <v>105</v>
      </c>
      <c r="G24" s="75">
        <v>88</v>
      </c>
      <c r="H24" s="27">
        <v>24</v>
      </c>
      <c r="I24" s="27">
        <v>0</v>
      </c>
      <c r="J24" s="27">
        <v>24</v>
      </c>
      <c r="K24" s="27">
        <v>0</v>
      </c>
      <c r="L24" s="29">
        <v>0</v>
      </c>
      <c r="M24" s="29">
        <v>0</v>
      </c>
      <c r="N24" s="29">
        <v>0</v>
      </c>
      <c r="O24" s="29">
        <v>0</v>
      </c>
      <c r="P24" s="29">
        <v>0</v>
      </c>
      <c r="Q24" s="253">
        <v>0</v>
      </c>
      <c r="R24" s="252">
        <v>3435</v>
      </c>
      <c r="S24" s="253">
        <v>2908</v>
      </c>
      <c r="T24" s="75">
        <v>2908</v>
      </c>
      <c r="U24" s="75">
        <v>2840</v>
      </c>
      <c r="V24" s="27">
        <v>2940</v>
      </c>
      <c r="W24" s="27">
        <v>40</v>
      </c>
      <c r="X24" s="27">
        <v>0</v>
      </c>
      <c r="Y24" s="27">
        <v>42</v>
      </c>
      <c r="Z24" s="29">
        <v>0</v>
      </c>
      <c r="AA24" s="29">
        <v>57</v>
      </c>
      <c r="AB24" s="29">
        <v>0</v>
      </c>
      <c r="AC24" s="32">
        <f t="shared" si="0"/>
        <v>100</v>
      </c>
      <c r="AD24" s="33">
        <f t="shared" si="1"/>
        <v>-68</v>
      </c>
      <c r="AE24" s="28">
        <v>124</v>
      </c>
      <c r="AF24" s="34">
        <f t="shared" si="2"/>
        <v>0.98790322580645162</v>
      </c>
      <c r="AG24" s="35">
        <f t="shared" si="3"/>
        <v>143.125</v>
      </c>
      <c r="AH24" s="34">
        <f t="shared" si="4"/>
        <v>0.82678311499272195</v>
      </c>
      <c r="AI24" s="226">
        <f t="shared" si="18"/>
        <v>1</v>
      </c>
      <c r="AJ24" s="37">
        <f t="shared" si="6"/>
        <v>0.87769784172661869</v>
      </c>
      <c r="AK24" s="255">
        <v>8.4770000000000003</v>
      </c>
      <c r="AL24" s="256">
        <v>157.46</v>
      </c>
      <c r="AM24" s="38">
        <f t="shared" si="7"/>
        <v>1334.7884200000001</v>
      </c>
      <c r="AN24" s="255">
        <v>23.872</v>
      </c>
      <c r="AO24" s="320">
        <v>983.30200000000002</v>
      </c>
      <c r="AP24" s="39">
        <f t="shared" si="8"/>
        <v>23473.385344000002</v>
      </c>
      <c r="AQ24" s="201">
        <f t="shared" si="9"/>
        <v>8735.2724521126784</v>
      </c>
      <c r="AR24" s="229">
        <f t="shared" si="19"/>
        <v>121.16666666666667</v>
      </c>
      <c r="AS24" s="13"/>
      <c r="AT24" s="27">
        <v>0</v>
      </c>
      <c r="AU24" s="40">
        <v>0</v>
      </c>
      <c r="AV24" s="40">
        <v>0</v>
      </c>
      <c r="AW24" s="27">
        <v>0</v>
      </c>
      <c r="AX24" s="40">
        <v>17</v>
      </c>
      <c r="AY24" s="27">
        <v>1440</v>
      </c>
      <c r="AZ24" s="27">
        <v>0</v>
      </c>
      <c r="BA24" s="332"/>
      <c r="BB24" s="52">
        <v>960</v>
      </c>
      <c r="BC24" s="52">
        <v>1014</v>
      </c>
      <c r="BD24" s="52">
        <v>966</v>
      </c>
      <c r="BE24" s="41">
        <f t="shared" si="11"/>
        <v>54</v>
      </c>
      <c r="BF24" s="41">
        <f t="shared" si="12"/>
        <v>8735.2724521126784</v>
      </c>
      <c r="BG24" s="60">
        <f t="shared" si="16"/>
        <v>40.25</v>
      </c>
      <c r="BH24" s="43">
        <v>0</v>
      </c>
      <c r="BI24" s="44">
        <v>0</v>
      </c>
      <c r="BJ24" s="45">
        <v>24.5</v>
      </c>
      <c r="BK24" s="47">
        <v>24.83</v>
      </c>
      <c r="BL24" s="47">
        <v>20.54</v>
      </c>
      <c r="BM24" s="47">
        <v>24.69</v>
      </c>
      <c r="BN24" s="45">
        <v>979.1</v>
      </c>
      <c r="BO24" s="45">
        <v>50.02</v>
      </c>
      <c r="BP24" s="48">
        <v>0.94269999999999998</v>
      </c>
      <c r="BQ24" s="54">
        <v>95.57</v>
      </c>
      <c r="BR24" s="54">
        <v>87.61</v>
      </c>
      <c r="BS24" s="55">
        <v>12144</v>
      </c>
      <c r="BT24" s="55">
        <v>11607</v>
      </c>
      <c r="BU24" s="51">
        <f t="shared" si="14"/>
        <v>-537</v>
      </c>
      <c r="BV24" s="41">
        <f t="shared" si="17"/>
        <v>0</v>
      </c>
      <c r="BW24" s="42">
        <v>0</v>
      </c>
      <c r="BX24" s="42">
        <v>0</v>
      </c>
      <c r="BZ24" s="42">
        <v>24</v>
      </c>
      <c r="CA24" s="42">
        <v>6.48</v>
      </c>
      <c r="CC24" s="42">
        <v>2.1</v>
      </c>
      <c r="CD24" s="42">
        <v>4.7</v>
      </c>
      <c r="CE24" s="42">
        <v>2.2000000000000002</v>
      </c>
      <c r="CF24" s="42">
        <v>0</v>
      </c>
    </row>
    <row r="25" spans="1:84">
      <c r="A25" s="453"/>
      <c r="B25" s="24">
        <v>43296</v>
      </c>
      <c r="C25" s="25">
        <v>95.93</v>
      </c>
      <c r="D25" s="26">
        <v>0.621</v>
      </c>
      <c r="E25" s="38">
        <v>80</v>
      </c>
      <c r="F25" s="28">
        <v>102</v>
      </c>
      <c r="G25" s="28">
        <v>88</v>
      </c>
      <c r="H25" s="27">
        <v>24</v>
      </c>
      <c r="I25" s="27">
        <v>0</v>
      </c>
      <c r="J25" s="27">
        <v>24</v>
      </c>
      <c r="K25" s="27">
        <v>0</v>
      </c>
      <c r="L25" s="29">
        <v>0</v>
      </c>
      <c r="M25" s="29">
        <v>0</v>
      </c>
      <c r="N25" s="29">
        <v>0</v>
      </c>
      <c r="O25" s="29">
        <v>0</v>
      </c>
      <c r="P25" s="29">
        <v>0</v>
      </c>
      <c r="Q25" s="253">
        <v>0</v>
      </c>
      <c r="R25" s="251">
        <v>3438</v>
      </c>
      <c r="S25" s="253">
        <v>2907</v>
      </c>
      <c r="T25" s="28">
        <v>2907</v>
      </c>
      <c r="U25" s="28">
        <v>2834</v>
      </c>
      <c r="V25" s="27">
        <v>2935</v>
      </c>
      <c r="W25" s="27">
        <v>40</v>
      </c>
      <c r="X25" s="27">
        <v>0</v>
      </c>
      <c r="Y25" s="27">
        <v>42</v>
      </c>
      <c r="Z25" s="29">
        <v>0</v>
      </c>
      <c r="AA25" s="29">
        <v>57</v>
      </c>
      <c r="AB25" s="29">
        <v>0</v>
      </c>
      <c r="AC25" s="32">
        <f t="shared" si="0"/>
        <v>101</v>
      </c>
      <c r="AD25" s="33">
        <f>U25-T25</f>
        <v>-73</v>
      </c>
      <c r="AE25" s="28">
        <v>123</v>
      </c>
      <c r="AF25" s="34">
        <f t="shared" si="2"/>
        <v>0.9942411924119241</v>
      </c>
      <c r="AG25" s="35">
        <f t="shared" si="3"/>
        <v>143.25</v>
      </c>
      <c r="AH25" s="34">
        <f t="shared" si="4"/>
        <v>0.82431646305991857</v>
      </c>
      <c r="AI25" s="226">
        <f t="shared" si="18"/>
        <v>1</v>
      </c>
      <c r="AJ25" s="37">
        <f t="shared" si="6"/>
        <v>0.87769784172661869</v>
      </c>
      <c r="AK25" s="271">
        <v>8</v>
      </c>
      <c r="AL25" s="272">
        <v>157.52000000000001</v>
      </c>
      <c r="AM25" s="38">
        <f t="shared" si="7"/>
        <v>1260.1600000000001</v>
      </c>
      <c r="AN25" s="271">
        <v>23.875</v>
      </c>
      <c r="AO25" s="320">
        <v>985.005</v>
      </c>
      <c r="AP25" s="39">
        <f t="shared" si="8"/>
        <v>23516.994374999998</v>
      </c>
      <c r="AQ25" s="201">
        <f t="shared" si="9"/>
        <v>8742.8208803810867</v>
      </c>
      <c r="AR25" s="229">
        <f t="shared" si="19"/>
        <v>121.125</v>
      </c>
      <c r="AS25" s="13"/>
      <c r="AT25" s="27">
        <v>0</v>
      </c>
      <c r="AU25" s="40">
        <v>0</v>
      </c>
      <c r="AV25" s="40">
        <v>0</v>
      </c>
      <c r="AW25" s="27">
        <v>0</v>
      </c>
      <c r="AX25" s="40">
        <v>17</v>
      </c>
      <c r="AY25" s="27">
        <v>1440</v>
      </c>
      <c r="AZ25" s="27">
        <v>0</v>
      </c>
      <c r="BA25" s="332"/>
      <c r="BB25" s="52">
        <v>957</v>
      </c>
      <c r="BC25" s="52">
        <v>1013</v>
      </c>
      <c r="BD25" s="52">
        <v>965</v>
      </c>
      <c r="BE25" s="41">
        <f t="shared" si="11"/>
        <v>56</v>
      </c>
      <c r="BF25" s="41">
        <f t="shared" si="12"/>
        <v>8742.8208803810867</v>
      </c>
      <c r="BG25" s="60">
        <f t="shared" si="16"/>
        <v>40.208333333333336</v>
      </c>
      <c r="BH25" s="43">
        <v>0</v>
      </c>
      <c r="BI25" s="44">
        <v>0</v>
      </c>
      <c r="BJ25" s="45">
        <v>24.5</v>
      </c>
      <c r="BK25" s="47">
        <v>24.81</v>
      </c>
      <c r="BL25" s="47">
        <v>20.53</v>
      </c>
      <c r="BM25" s="47">
        <v>24.42</v>
      </c>
      <c r="BN25" s="45">
        <v>978.7</v>
      </c>
      <c r="BO25" s="45">
        <v>50.02</v>
      </c>
      <c r="BP25" s="48">
        <v>0.95250000000000001</v>
      </c>
      <c r="BQ25" s="54">
        <v>95.57</v>
      </c>
      <c r="BR25" s="54">
        <v>87.63</v>
      </c>
      <c r="BS25" s="55">
        <v>12151</v>
      </c>
      <c r="BT25" s="55">
        <v>11604</v>
      </c>
      <c r="BU25" s="51">
        <f t="shared" si="14"/>
        <v>-547</v>
      </c>
      <c r="BV25" s="41">
        <f t="shared" si="17"/>
        <v>0</v>
      </c>
      <c r="BW25" s="42">
        <v>0</v>
      </c>
      <c r="BX25" s="42">
        <v>0</v>
      </c>
      <c r="BZ25" s="42">
        <v>24</v>
      </c>
      <c r="CA25" s="42">
        <v>6.62</v>
      </c>
      <c r="CC25" s="42">
        <v>2.1</v>
      </c>
      <c r="CD25" s="42">
        <v>4.7</v>
      </c>
      <c r="CE25" s="42">
        <v>2.1</v>
      </c>
      <c r="CF25" s="42">
        <v>0</v>
      </c>
    </row>
    <row r="26" spans="1:84" ht="15" customHeight="1">
      <c r="A26" s="451" t="s">
        <v>246</v>
      </c>
      <c r="B26" s="24">
        <v>43297</v>
      </c>
      <c r="C26" s="157">
        <v>94.14</v>
      </c>
      <c r="D26" s="197">
        <v>0.64439999999999997</v>
      </c>
      <c r="E26" s="171">
        <v>80.5</v>
      </c>
      <c r="F26" s="160">
        <v>105</v>
      </c>
      <c r="G26" s="160">
        <v>88</v>
      </c>
      <c r="H26" s="160">
        <v>24</v>
      </c>
      <c r="I26" s="160">
        <v>0</v>
      </c>
      <c r="J26" s="160">
        <v>24</v>
      </c>
      <c r="K26" s="160">
        <v>0</v>
      </c>
      <c r="L26" s="188">
        <v>0</v>
      </c>
      <c r="M26" s="188">
        <v>0</v>
      </c>
      <c r="N26" s="188">
        <v>0</v>
      </c>
      <c r="O26" s="188">
        <v>0</v>
      </c>
      <c r="P26" s="188">
        <v>0</v>
      </c>
      <c r="Q26" s="262">
        <v>0</v>
      </c>
      <c r="R26" s="257">
        <v>3456</v>
      </c>
      <c r="S26" s="159">
        <v>2927</v>
      </c>
      <c r="T26" s="160">
        <v>2927</v>
      </c>
      <c r="U26" s="160">
        <v>2854</v>
      </c>
      <c r="V26" s="160">
        <v>2956</v>
      </c>
      <c r="W26" s="160">
        <v>40</v>
      </c>
      <c r="X26" s="160">
        <v>0</v>
      </c>
      <c r="Y26" s="160">
        <v>43</v>
      </c>
      <c r="Z26" s="188">
        <v>0</v>
      </c>
      <c r="AA26" s="188">
        <v>57</v>
      </c>
      <c r="AB26" s="188">
        <v>0</v>
      </c>
      <c r="AC26" s="165">
        <f t="shared" si="0"/>
        <v>102</v>
      </c>
      <c r="AD26" s="166">
        <f t="shared" si="1"/>
        <v>-73</v>
      </c>
      <c r="AE26" s="160">
        <v>126</v>
      </c>
      <c r="AF26" s="167">
        <f t="shared" si="2"/>
        <v>0.97751322751322756</v>
      </c>
      <c r="AG26" s="168">
        <f t="shared" si="3"/>
        <v>144</v>
      </c>
      <c r="AH26" s="167">
        <f t="shared" si="4"/>
        <v>0.82581018518518523</v>
      </c>
      <c r="AI26" s="169">
        <f t="shared" si="18"/>
        <v>1</v>
      </c>
      <c r="AJ26" s="170">
        <f t="shared" si="6"/>
        <v>0.87857142857142856</v>
      </c>
      <c r="AK26" s="273">
        <v>8.3800000000000008</v>
      </c>
      <c r="AL26" s="274">
        <v>155.56</v>
      </c>
      <c r="AM26" s="275">
        <f t="shared" si="7"/>
        <v>1303.5928000000001</v>
      </c>
      <c r="AN26" s="273">
        <v>23.994240000000001</v>
      </c>
      <c r="AO26" s="321">
        <v>984.12</v>
      </c>
      <c r="AP26" s="172">
        <f t="shared" si="8"/>
        <v>23613.2114688</v>
      </c>
      <c r="AQ26" s="202">
        <f t="shared" si="9"/>
        <v>8730.4850276103698</v>
      </c>
      <c r="AR26" s="199">
        <f t="shared" si="19"/>
        <v>121.95833333333333</v>
      </c>
      <c r="AS26" s="13"/>
      <c r="AT26" s="159">
        <v>0</v>
      </c>
      <c r="AU26" s="174">
        <v>0</v>
      </c>
      <c r="AV26" s="174">
        <v>0</v>
      </c>
      <c r="AW26" s="159">
        <v>0</v>
      </c>
      <c r="AX26" s="174">
        <v>17</v>
      </c>
      <c r="AY26" s="159">
        <v>1440</v>
      </c>
      <c r="AZ26" s="159">
        <v>0</v>
      </c>
      <c r="BA26" s="332"/>
      <c r="BB26" s="175">
        <v>964</v>
      </c>
      <c r="BC26" s="175">
        <v>1022</v>
      </c>
      <c r="BD26" s="175">
        <v>970</v>
      </c>
      <c r="BE26" s="175">
        <f t="shared" si="11"/>
        <v>58</v>
      </c>
      <c r="BF26" s="175">
        <f t="shared" si="12"/>
        <v>8730.4850276103698</v>
      </c>
      <c r="BG26" s="177">
        <f t="shared" si="16"/>
        <v>40.416666666666664</v>
      </c>
      <c r="BH26" s="191">
        <v>0</v>
      </c>
      <c r="BI26" s="155">
        <v>0</v>
      </c>
      <c r="BJ26" s="181">
        <v>24.5</v>
      </c>
      <c r="BK26" s="192">
        <v>24.94</v>
      </c>
      <c r="BL26" s="192">
        <v>20.71</v>
      </c>
      <c r="BM26" s="192">
        <v>24.39</v>
      </c>
      <c r="BN26" s="192">
        <v>978.8</v>
      </c>
      <c r="BO26" s="192">
        <v>50.11</v>
      </c>
      <c r="BP26" s="193">
        <v>0.94279999999999997</v>
      </c>
      <c r="BQ26" s="194">
        <v>95.56</v>
      </c>
      <c r="BR26" s="194">
        <v>87.57</v>
      </c>
      <c r="BS26" s="194">
        <v>12142</v>
      </c>
      <c r="BT26" s="194">
        <v>11577</v>
      </c>
      <c r="BU26" s="51">
        <f t="shared" si="14"/>
        <v>-565</v>
      </c>
      <c r="BV26" s="175">
        <f t="shared" si="17"/>
        <v>0</v>
      </c>
      <c r="BW26" s="177">
        <v>0</v>
      </c>
      <c r="BX26" s="177">
        <v>0</v>
      </c>
      <c r="BZ26" s="177">
        <v>24</v>
      </c>
      <c r="CA26" s="177">
        <v>6.58</v>
      </c>
      <c r="CC26" s="177">
        <v>2.1</v>
      </c>
      <c r="CD26" s="177">
        <v>4.8</v>
      </c>
      <c r="CE26" s="177">
        <v>2.1</v>
      </c>
      <c r="CF26" s="177">
        <v>0</v>
      </c>
    </row>
    <row r="27" spans="1:84">
      <c r="A27" s="452"/>
      <c r="B27" s="24">
        <v>43298</v>
      </c>
      <c r="C27" s="157">
        <v>91.7</v>
      </c>
      <c r="D27" s="197">
        <v>0.67</v>
      </c>
      <c r="E27" s="171">
        <v>80</v>
      </c>
      <c r="F27" s="160">
        <v>100</v>
      </c>
      <c r="G27" s="160">
        <v>85</v>
      </c>
      <c r="H27" s="160">
        <v>24</v>
      </c>
      <c r="I27" s="160">
        <v>0</v>
      </c>
      <c r="J27" s="160">
        <v>24</v>
      </c>
      <c r="K27" s="160">
        <v>0</v>
      </c>
      <c r="L27" s="188">
        <v>0</v>
      </c>
      <c r="M27" s="188">
        <v>0</v>
      </c>
      <c r="N27" s="188">
        <v>0</v>
      </c>
      <c r="O27" s="188">
        <v>0</v>
      </c>
      <c r="P27" s="188">
        <v>0</v>
      </c>
      <c r="Q27" s="262">
        <v>0</v>
      </c>
      <c r="R27" s="257">
        <v>3478</v>
      </c>
      <c r="S27" s="159">
        <v>2947</v>
      </c>
      <c r="T27" s="160">
        <v>2947</v>
      </c>
      <c r="U27" s="160">
        <v>2873</v>
      </c>
      <c r="V27" s="160">
        <v>2974</v>
      </c>
      <c r="W27" s="160">
        <v>40</v>
      </c>
      <c r="X27" s="160">
        <v>0</v>
      </c>
      <c r="Y27" s="160">
        <v>43</v>
      </c>
      <c r="Z27" s="188">
        <v>0</v>
      </c>
      <c r="AA27" s="188">
        <v>57</v>
      </c>
      <c r="AB27" s="188">
        <v>0</v>
      </c>
      <c r="AC27" s="165">
        <f t="shared" si="0"/>
        <v>101</v>
      </c>
      <c r="AD27" s="166">
        <f t="shared" si="1"/>
        <v>-74</v>
      </c>
      <c r="AE27" s="160">
        <v>126</v>
      </c>
      <c r="AF27" s="167">
        <f t="shared" si="2"/>
        <v>0.98346560846560849</v>
      </c>
      <c r="AG27" s="168">
        <f t="shared" si="3"/>
        <v>144.91666666666666</v>
      </c>
      <c r="AH27" s="167">
        <f t="shared" si="4"/>
        <v>0.82604945370902816</v>
      </c>
      <c r="AI27" s="169">
        <f t="shared" si="18"/>
        <v>1</v>
      </c>
      <c r="AJ27" s="170">
        <f t="shared" si="6"/>
        <v>0.87857142857142856</v>
      </c>
      <c r="AK27" s="273">
        <v>8.0370000000000008</v>
      </c>
      <c r="AL27" s="274">
        <v>152.76</v>
      </c>
      <c r="AM27" s="275">
        <f t="shared" si="7"/>
        <v>1227.7321200000001</v>
      </c>
      <c r="AN27" s="273">
        <v>24.091971000000001</v>
      </c>
      <c r="AO27" s="321">
        <v>990.08</v>
      </c>
      <c r="AP27" s="172">
        <f t="shared" si="8"/>
        <v>23852.978647680004</v>
      </c>
      <c r="AQ27" s="202">
        <f t="shared" si="9"/>
        <v>8729.7983876366179</v>
      </c>
      <c r="AR27" s="199">
        <f>IF(S27&gt;0,(S27/24), "no data")</f>
        <v>122.79166666666667</v>
      </c>
      <c r="AS27" s="13"/>
      <c r="AT27" s="159">
        <v>0</v>
      </c>
      <c r="AU27" s="174">
        <v>0</v>
      </c>
      <c r="AV27" s="159">
        <v>0</v>
      </c>
      <c r="AW27" s="159">
        <v>0</v>
      </c>
      <c r="AX27" s="174">
        <v>17</v>
      </c>
      <c r="AY27" s="159">
        <v>1440</v>
      </c>
      <c r="AZ27" s="159">
        <v>0</v>
      </c>
      <c r="BA27" s="332"/>
      <c r="BB27" s="175">
        <v>970</v>
      </c>
      <c r="BC27" s="175">
        <v>1027</v>
      </c>
      <c r="BD27" s="175">
        <v>977</v>
      </c>
      <c r="BE27" s="175">
        <f t="shared" si="11"/>
        <v>57</v>
      </c>
      <c r="BF27" s="175">
        <f t="shared" si="12"/>
        <v>8729.7983876366179</v>
      </c>
      <c r="BG27" s="177">
        <f t="shared" si="16"/>
        <v>40.708333333333336</v>
      </c>
      <c r="BH27" s="191">
        <v>0</v>
      </c>
      <c r="BI27" s="155">
        <v>0</v>
      </c>
      <c r="BJ27" s="181">
        <v>24.5</v>
      </c>
      <c r="BK27" s="192">
        <v>25.01</v>
      </c>
      <c r="BL27" s="192">
        <v>20.77</v>
      </c>
      <c r="BM27" s="192">
        <v>24.54</v>
      </c>
      <c r="BN27" s="181">
        <v>980.8</v>
      </c>
      <c r="BO27" s="192">
        <v>50.15</v>
      </c>
      <c r="BP27" s="193">
        <v>0.91800000000000004</v>
      </c>
      <c r="BQ27" s="194">
        <v>95.53</v>
      </c>
      <c r="BR27" s="194">
        <v>87.55</v>
      </c>
      <c r="BS27" s="194">
        <v>12102</v>
      </c>
      <c r="BT27" s="194">
        <v>11536</v>
      </c>
      <c r="BU27" s="51">
        <f t="shared" si="14"/>
        <v>-566</v>
      </c>
      <c r="BV27" s="175">
        <f t="shared" si="17"/>
        <v>0</v>
      </c>
      <c r="BW27" s="177">
        <v>0</v>
      </c>
      <c r="BX27" s="177">
        <v>0</v>
      </c>
      <c r="BZ27" s="177">
        <v>24</v>
      </c>
      <c r="CA27" s="177">
        <v>7.3</v>
      </c>
      <c r="CC27" s="177">
        <v>2.2000000000000002</v>
      </c>
      <c r="CD27" s="177">
        <v>4.8</v>
      </c>
      <c r="CE27" s="177">
        <v>2</v>
      </c>
      <c r="CF27" s="177">
        <v>0</v>
      </c>
    </row>
    <row r="28" spans="1:84">
      <c r="A28" s="452"/>
      <c r="B28" s="24">
        <v>43299</v>
      </c>
      <c r="C28" s="157">
        <v>93.9</v>
      </c>
      <c r="D28" s="197">
        <v>0.64500000000000002</v>
      </c>
      <c r="E28" s="171">
        <v>81</v>
      </c>
      <c r="F28" s="160">
        <v>103</v>
      </c>
      <c r="G28" s="160">
        <v>87</v>
      </c>
      <c r="H28" s="160">
        <v>24</v>
      </c>
      <c r="I28" s="160">
        <v>0</v>
      </c>
      <c r="J28" s="160">
        <v>24</v>
      </c>
      <c r="K28" s="160">
        <v>0</v>
      </c>
      <c r="L28" s="188">
        <v>0</v>
      </c>
      <c r="M28" s="188">
        <v>0</v>
      </c>
      <c r="N28" s="188">
        <v>0</v>
      </c>
      <c r="O28" s="188">
        <v>0</v>
      </c>
      <c r="P28" s="188">
        <v>0</v>
      </c>
      <c r="Q28" s="262">
        <v>0</v>
      </c>
      <c r="R28" s="257">
        <v>3459</v>
      </c>
      <c r="S28" s="159">
        <v>2929</v>
      </c>
      <c r="T28" s="160">
        <v>2929</v>
      </c>
      <c r="U28" s="160">
        <v>2855</v>
      </c>
      <c r="V28" s="160">
        <v>2956</v>
      </c>
      <c r="W28" s="160">
        <v>40</v>
      </c>
      <c r="X28" s="160">
        <v>0</v>
      </c>
      <c r="Y28" s="160">
        <v>43</v>
      </c>
      <c r="Z28" s="258">
        <v>0</v>
      </c>
      <c r="AA28" s="188">
        <v>57</v>
      </c>
      <c r="AB28" s="188">
        <v>0</v>
      </c>
      <c r="AC28" s="165">
        <f t="shared" si="0"/>
        <v>101</v>
      </c>
      <c r="AD28" s="166">
        <f>U28-T28</f>
        <v>-74</v>
      </c>
      <c r="AE28" s="160">
        <v>125</v>
      </c>
      <c r="AF28" s="167">
        <f t="shared" si="2"/>
        <v>0.98533333333333328</v>
      </c>
      <c r="AG28" s="168">
        <f t="shared" si="3"/>
        <v>144.125</v>
      </c>
      <c r="AH28" s="167">
        <f t="shared" si="4"/>
        <v>0.82538305868748196</v>
      </c>
      <c r="AI28" s="169">
        <f t="shared" si="18"/>
        <v>1</v>
      </c>
      <c r="AJ28" s="170">
        <f t="shared" si="6"/>
        <v>0.87857142857142856</v>
      </c>
      <c r="AK28" s="273">
        <v>8.0229999999999997</v>
      </c>
      <c r="AL28" s="274">
        <v>155.46</v>
      </c>
      <c r="AM28" s="275">
        <f t="shared" si="7"/>
        <v>1247.25558</v>
      </c>
      <c r="AN28" s="273">
        <v>24.085279000000003</v>
      </c>
      <c r="AO28" s="276">
        <v>982.35400000000004</v>
      </c>
      <c r="AP28" s="172">
        <f t="shared" si="8"/>
        <v>23660.270166766004</v>
      </c>
      <c r="AQ28" s="202">
        <f t="shared" si="9"/>
        <v>8724.1771442262707</v>
      </c>
      <c r="AR28" s="199">
        <f t="shared" si="19"/>
        <v>122.04166666666667</v>
      </c>
      <c r="AS28" s="13"/>
      <c r="AT28" s="159">
        <v>0</v>
      </c>
      <c r="AU28" s="174">
        <v>0</v>
      </c>
      <c r="AV28" s="174">
        <v>0</v>
      </c>
      <c r="AW28" s="159">
        <v>0</v>
      </c>
      <c r="AX28" s="174">
        <v>17</v>
      </c>
      <c r="AY28" s="159">
        <v>1440</v>
      </c>
      <c r="AZ28" s="159">
        <v>0</v>
      </c>
      <c r="BA28" s="332"/>
      <c r="BB28" s="175">
        <v>964</v>
      </c>
      <c r="BC28" s="175">
        <v>1020</v>
      </c>
      <c r="BD28" s="175">
        <v>972</v>
      </c>
      <c r="BE28" s="175">
        <f t="shared" si="11"/>
        <v>56</v>
      </c>
      <c r="BF28" s="175">
        <f t="shared" si="12"/>
        <v>8724.1771442262707</v>
      </c>
      <c r="BG28" s="177">
        <f t="shared" si="16"/>
        <v>40.5</v>
      </c>
      <c r="BH28" s="191">
        <v>0</v>
      </c>
      <c r="BI28" s="191">
        <v>0</v>
      </c>
      <c r="BJ28" s="181">
        <v>24.4</v>
      </c>
      <c r="BK28" s="192">
        <v>25.07</v>
      </c>
      <c r="BL28" s="192">
        <v>20.83</v>
      </c>
      <c r="BM28" s="192">
        <v>24.22</v>
      </c>
      <c r="BN28" s="195">
        <v>981.6</v>
      </c>
      <c r="BO28" s="181">
        <v>50.12</v>
      </c>
      <c r="BP28" s="193">
        <v>0.94289999999999996</v>
      </c>
      <c r="BQ28" s="194">
        <v>95.47</v>
      </c>
      <c r="BR28" s="194">
        <v>87.56</v>
      </c>
      <c r="BS28" s="194">
        <v>12203</v>
      </c>
      <c r="BT28" s="194">
        <v>11647</v>
      </c>
      <c r="BU28" s="51">
        <f t="shared" si="14"/>
        <v>-556</v>
      </c>
      <c r="BV28" s="175">
        <f t="shared" si="17"/>
        <v>0</v>
      </c>
      <c r="BW28" s="177">
        <v>0</v>
      </c>
      <c r="BX28" s="177">
        <v>0</v>
      </c>
      <c r="BZ28" s="177">
        <v>24</v>
      </c>
      <c r="CA28" s="177">
        <v>6.6</v>
      </c>
      <c r="CC28" s="177">
        <v>2.1</v>
      </c>
      <c r="CD28" s="177">
        <v>4.7</v>
      </c>
      <c r="CE28" s="177">
        <v>2.1</v>
      </c>
      <c r="CF28" s="177">
        <v>0</v>
      </c>
    </row>
    <row r="29" spans="1:84">
      <c r="A29" s="452"/>
      <c r="B29" s="24">
        <v>43300</v>
      </c>
      <c r="C29" s="157">
        <v>90.8</v>
      </c>
      <c r="D29" s="197">
        <v>0.68799999999999994</v>
      </c>
      <c r="E29" s="171">
        <v>80.400000000000006</v>
      </c>
      <c r="F29" s="160">
        <v>103</v>
      </c>
      <c r="G29" s="160">
        <v>81</v>
      </c>
      <c r="H29" s="160">
        <v>24</v>
      </c>
      <c r="I29" s="160">
        <v>0</v>
      </c>
      <c r="J29" s="160">
        <v>24</v>
      </c>
      <c r="K29" s="160">
        <v>0</v>
      </c>
      <c r="L29" s="188">
        <v>0</v>
      </c>
      <c r="M29" s="188">
        <v>0</v>
      </c>
      <c r="N29" s="188">
        <v>0</v>
      </c>
      <c r="O29" s="188">
        <v>0</v>
      </c>
      <c r="P29" s="188">
        <v>0</v>
      </c>
      <c r="Q29" s="262">
        <v>0</v>
      </c>
      <c r="R29" s="259">
        <v>3490</v>
      </c>
      <c r="S29" s="159">
        <v>2941</v>
      </c>
      <c r="T29" s="160">
        <v>2941</v>
      </c>
      <c r="U29" s="160">
        <v>2867</v>
      </c>
      <c r="V29" s="160">
        <v>2969</v>
      </c>
      <c r="W29" s="160">
        <v>40</v>
      </c>
      <c r="X29" s="160">
        <v>0</v>
      </c>
      <c r="Y29" s="160">
        <v>43</v>
      </c>
      <c r="Z29" s="188">
        <v>0</v>
      </c>
      <c r="AA29" s="188">
        <v>57</v>
      </c>
      <c r="AB29" s="188">
        <v>0</v>
      </c>
      <c r="AC29" s="165">
        <f t="shared" si="0"/>
        <v>102</v>
      </c>
      <c r="AD29" s="166">
        <f t="shared" si="1"/>
        <v>-74</v>
      </c>
      <c r="AE29" s="160">
        <v>126</v>
      </c>
      <c r="AF29" s="167">
        <f t="shared" si="2"/>
        <v>0.9818121693121693</v>
      </c>
      <c r="AG29" s="168">
        <f t="shared" si="3"/>
        <v>145.41666666666666</v>
      </c>
      <c r="AH29" s="167">
        <f t="shared" si="4"/>
        <v>0.82148997134670487</v>
      </c>
      <c r="AI29" s="169">
        <f t="shared" si="18"/>
        <v>1</v>
      </c>
      <c r="AJ29" s="170">
        <f>IF(U29&gt;0,(1440-((X29*W29+AT29*AU29)+(Z29*Y29+AV29*AW29)+(AA29*AB29+AX29*AY29))/(W29+Y29+AA29))/1440,"no data")</f>
        <v>0.88571428571428568</v>
      </c>
      <c r="AK29" s="273">
        <v>7.899</v>
      </c>
      <c r="AL29" s="274">
        <v>152.31</v>
      </c>
      <c r="AM29" s="275">
        <f t="shared" si="7"/>
        <v>1203.0966900000001</v>
      </c>
      <c r="AN29" s="273">
        <v>24.14526</v>
      </c>
      <c r="AO29" s="276">
        <v>984.18</v>
      </c>
      <c r="AP29" s="172">
        <f t="shared" si="8"/>
        <v>23763.281986800001</v>
      </c>
      <c r="AQ29" s="202">
        <f t="shared" si="9"/>
        <v>8708.1892838507156</v>
      </c>
      <c r="AR29" s="199">
        <f t="shared" si="19"/>
        <v>122.54166666666667</v>
      </c>
      <c r="AS29" s="13"/>
      <c r="AT29" s="159">
        <v>0</v>
      </c>
      <c r="AU29" s="174">
        <v>0</v>
      </c>
      <c r="AV29" s="174">
        <v>0</v>
      </c>
      <c r="AW29" s="159">
        <v>0</v>
      </c>
      <c r="AX29" s="174">
        <v>16</v>
      </c>
      <c r="AY29" s="159">
        <v>1440</v>
      </c>
      <c r="AZ29" s="159">
        <v>0</v>
      </c>
      <c r="BA29" s="332"/>
      <c r="BB29" s="175">
        <v>968</v>
      </c>
      <c r="BC29" s="175">
        <v>1026</v>
      </c>
      <c r="BD29" s="175">
        <v>975</v>
      </c>
      <c r="BE29" s="175">
        <f t="shared" si="11"/>
        <v>58</v>
      </c>
      <c r="BF29" s="175">
        <f t="shared" si="12"/>
        <v>8708.1892838507156</v>
      </c>
      <c r="BG29" s="177">
        <f t="shared" si="16"/>
        <v>40.625</v>
      </c>
      <c r="BH29" s="191">
        <v>0</v>
      </c>
      <c r="BI29" s="155">
        <v>0</v>
      </c>
      <c r="BJ29" s="260">
        <v>24</v>
      </c>
      <c r="BK29" s="181">
        <v>25.06</v>
      </c>
      <c r="BL29" s="192">
        <v>20.83</v>
      </c>
      <c r="BM29" s="195">
        <v>24.68</v>
      </c>
      <c r="BN29" s="192">
        <v>980.8</v>
      </c>
      <c r="BO29" s="192">
        <v>50.11</v>
      </c>
      <c r="BP29" s="193">
        <v>0.94279999999999997</v>
      </c>
      <c r="BQ29" s="194">
        <v>95.48</v>
      </c>
      <c r="BR29" s="181">
        <v>87.55</v>
      </c>
      <c r="BS29" s="194">
        <v>12150</v>
      </c>
      <c r="BT29" s="175">
        <v>11586</v>
      </c>
      <c r="BU29" s="51">
        <f t="shared" si="14"/>
        <v>-564</v>
      </c>
      <c r="BV29" s="175">
        <f t="shared" si="17"/>
        <v>0</v>
      </c>
      <c r="BW29" s="177">
        <v>0</v>
      </c>
      <c r="BX29" s="177">
        <v>0</v>
      </c>
      <c r="BZ29" s="177">
        <v>24</v>
      </c>
      <c r="CA29" s="177">
        <v>7.2</v>
      </c>
      <c r="CC29" s="177">
        <v>2.1</v>
      </c>
      <c r="CD29" s="177">
        <v>4.7</v>
      </c>
      <c r="CE29" s="177">
        <v>2.1</v>
      </c>
      <c r="CF29" s="177">
        <v>0</v>
      </c>
    </row>
    <row r="30" spans="1:84">
      <c r="A30" s="452"/>
      <c r="B30" s="24">
        <v>43301</v>
      </c>
      <c r="C30" s="157">
        <v>90.6</v>
      </c>
      <c r="D30" s="197">
        <v>0.71699999999999997</v>
      </c>
      <c r="E30" s="171">
        <v>81.900000000000006</v>
      </c>
      <c r="F30" s="160">
        <v>101</v>
      </c>
      <c r="G30" s="160">
        <v>85</v>
      </c>
      <c r="H30" s="160">
        <v>24</v>
      </c>
      <c r="I30" s="160">
        <v>0</v>
      </c>
      <c r="J30" s="160">
        <v>24</v>
      </c>
      <c r="K30" s="160">
        <v>0</v>
      </c>
      <c r="L30" s="187">
        <v>0</v>
      </c>
      <c r="M30" s="187">
        <v>0</v>
      </c>
      <c r="N30" s="187">
        <v>0</v>
      </c>
      <c r="O30" s="187">
        <v>0</v>
      </c>
      <c r="P30" s="187">
        <v>0</v>
      </c>
      <c r="Q30" s="262">
        <v>0</v>
      </c>
      <c r="R30" s="257">
        <v>3492</v>
      </c>
      <c r="S30" s="262">
        <v>2931</v>
      </c>
      <c r="T30" s="160">
        <v>2931</v>
      </c>
      <c r="U30" s="160">
        <v>2860</v>
      </c>
      <c r="V30" s="160">
        <v>2961</v>
      </c>
      <c r="W30" s="160">
        <v>40</v>
      </c>
      <c r="X30" s="160">
        <v>0</v>
      </c>
      <c r="Y30" s="160">
        <v>43</v>
      </c>
      <c r="Z30" s="187">
        <v>0</v>
      </c>
      <c r="AA30" s="187">
        <v>57</v>
      </c>
      <c r="AB30" s="187">
        <v>0</v>
      </c>
      <c r="AC30" s="165">
        <f t="shared" si="0"/>
        <v>101</v>
      </c>
      <c r="AD30" s="166">
        <f t="shared" si="1"/>
        <v>-71</v>
      </c>
      <c r="AE30" s="160">
        <v>125</v>
      </c>
      <c r="AF30" s="167">
        <f t="shared" si="2"/>
        <v>0.98699999999999999</v>
      </c>
      <c r="AG30" s="168">
        <f t="shared" si="3"/>
        <v>145.5</v>
      </c>
      <c r="AH30" s="167">
        <f t="shared" si="4"/>
        <v>0.81901489117983961</v>
      </c>
      <c r="AI30" s="169">
        <f t="shared" si="18"/>
        <v>1</v>
      </c>
      <c r="AJ30" s="170">
        <f t="shared" si="6"/>
        <v>0.88571428571428568</v>
      </c>
      <c r="AK30" s="306">
        <v>7.8010000000000002</v>
      </c>
      <c r="AL30" s="307">
        <v>152.66</v>
      </c>
      <c r="AM30" s="171">
        <f t="shared" si="7"/>
        <v>1190.90066</v>
      </c>
      <c r="AN30" s="306">
        <v>24.033640999999999</v>
      </c>
      <c r="AO30" s="335">
        <v>984.56289268921898</v>
      </c>
      <c r="AP30" s="172">
        <f t="shared" si="8"/>
        <v>23662.631104814212</v>
      </c>
      <c r="AQ30" s="202">
        <f t="shared" si="9"/>
        <v>8690.0460716133603</v>
      </c>
      <c r="AR30" s="199">
        <f t="shared" si="19"/>
        <v>122.125</v>
      </c>
      <c r="AS30" s="13"/>
      <c r="AT30" s="159">
        <v>0</v>
      </c>
      <c r="AU30" s="174">
        <v>0</v>
      </c>
      <c r="AV30" s="174">
        <v>0</v>
      </c>
      <c r="AW30" s="159">
        <v>0</v>
      </c>
      <c r="AX30" s="174">
        <v>16</v>
      </c>
      <c r="AY30" s="159">
        <v>1440</v>
      </c>
      <c r="AZ30" s="159">
        <v>0</v>
      </c>
      <c r="BA30" s="332"/>
      <c r="BB30" s="175">
        <v>965</v>
      </c>
      <c r="BC30" s="175">
        <v>1024</v>
      </c>
      <c r="BD30" s="175">
        <v>972</v>
      </c>
      <c r="BE30" s="175">
        <f t="shared" si="11"/>
        <v>59</v>
      </c>
      <c r="BF30" s="175">
        <f t="shared" si="12"/>
        <v>8690.0460716133603</v>
      </c>
      <c r="BG30" s="177">
        <f t="shared" si="16"/>
        <v>40.5</v>
      </c>
      <c r="BH30" s="191">
        <v>0</v>
      </c>
      <c r="BI30" s="155">
        <v>0</v>
      </c>
      <c r="BJ30" s="181">
        <v>24</v>
      </c>
      <c r="BK30" s="192">
        <v>24.96</v>
      </c>
      <c r="BL30" s="192">
        <v>20.75</v>
      </c>
      <c r="BM30" s="192">
        <v>24.3</v>
      </c>
      <c r="BN30" s="195">
        <v>980</v>
      </c>
      <c r="BO30" s="181">
        <v>50.11</v>
      </c>
      <c r="BP30" s="193">
        <v>0.94179999999999997</v>
      </c>
      <c r="BQ30" s="194">
        <v>95.62</v>
      </c>
      <c r="BR30" s="181">
        <v>87.6</v>
      </c>
      <c r="BS30" s="194">
        <v>12149</v>
      </c>
      <c r="BT30" s="175">
        <v>11576</v>
      </c>
      <c r="BU30" s="51">
        <f t="shared" si="14"/>
        <v>-573</v>
      </c>
      <c r="BV30" s="175">
        <f t="shared" si="17"/>
        <v>0</v>
      </c>
      <c r="BW30" s="177">
        <v>0</v>
      </c>
      <c r="BX30" s="177">
        <v>0</v>
      </c>
      <c r="BZ30" s="177">
        <v>24</v>
      </c>
      <c r="CA30" s="177">
        <v>6.43</v>
      </c>
      <c r="CC30" s="177">
        <v>2.1</v>
      </c>
      <c r="CD30" s="177">
        <v>4.7</v>
      </c>
      <c r="CE30" s="177">
        <v>2.1</v>
      </c>
      <c r="CF30" s="177">
        <v>0</v>
      </c>
    </row>
    <row r="31" spans="1:84">
      <c r="A31" s="452"/>
      <c r="B31" s="24">
        <v>43302</v>
      </c>
      <c r="C31" s="157">
        <v>94</v>
      </c>
      <c r="D31" s="197">
        <v>0.66</v>
      </c>
      <c r="E31" s="171">
        <v>81</v>
      </c>
      <c r="F31" s="159">
        <v>103</v>
      </c>
      <c r="G31" s="159">
        <v>85</v>
      </c>
      <c r="H31" s="160">
        <v>24</v>
      </c>
      <c r="I31" s="160">
        <v>0</v>
      </c>
      <c r="J31" s="160">
        <v>24</v>
      </c>
      <c r="K31" s="160">
        <v>0</v>
      </c>
      <c r="L31" s="187">
        <v>0</v>
      </c>
      <c r="M31" s="187">
        <v>0</v>
      </c>
      <c r="N31" s="187">
        <v>0</v>
      </c>
      <c r="O31" s="187">
        <v>0</v>
      </c>
      <c r="P31" s="187">
        <v>0</v>
      </c>
      <c r="Q31" s="262">
        <v>0</v>
      </c>
      <c r="R31" s="259">
        <v>3460</v>
      </c>
      <c r="S31" s="262">
        <v>2915</v>
      </c>
      <c r="T31" s="159">
        <v>2915</v>
      </c>
      <c r="U31" s="159">
        <v>2845</v>
      </c>
      <c r="V31" s="160">
        <v>2944</v>
      </c>
      <c r="W31" s="160">
        <v>40</v>
      </c>
      <c r="X31" s="160">
        <v>0</v>
      </c>
      <c r="Y31" s="160">
        <v>42</v>
      </c>
      <c r="Z31" s="187">
        <v>0</v>
      </c>
      <c r="AA31" s="187">
        <v>57</v>
      </c>
      <c r="AB31" s="187">
        <v>0</v>
      </c>
      <c r="AC31" s="165">
        <f t="shared" si="0"/>
        <v>99</v>
      </c>
      <c r="AD31" s="166">
        <f t="shared" si="1"/>
        <v>-70</v>
      </c>
      <c r="AE31" s="160">
        <v>125</v>
      </c>
      <c r="AF31" s="167">
        <f t="shared" si="2"/>
        <v>0.98133333333333328</v>
      </c>
      <c r="AG31" s="168">
        <f t="shared" si="3"/>
        <v>144.16666666666666</v>
      </c>
      <c r="AH31" s="167">
        <f t="shared" si="4"/>
        <v>0.8222543352601156</v>
      </c>
      <c r="AI31" s="169">
        <f t="shared" si="18"/>
        <v>1</v>
      </c>
      <c r="AJ31" s="170">
        <f t="shared" si="6"/>
        <v>0.87769784172661869</v>
      </c>
      <c r="AK31" s="273">
        <v>7.8289999999999997</v>
      </c>
      <c r="AL31" s="274">
        <v>160.25</v>
      </c>
      <c r="AM31" s="275">
        <f t="shared" si="7"/>
        <v>1254.59725</v>
      </c>
      <c r="AN31" s="273">
        <v>23.901760000000003</v>
      </c>
      <c r="AO31" s="321">
        <v>987.74109869879919</v>
      </c>
      <c r="AP31" s="172">
        <f t="shared" si="8"/>
        <v>23608.750683235012</v>
      </c>
      <c r="AQ31" s="202">
        <f t="shared" si="9"/>
        <v>8739.313860539547</v>
      </c>
      <c r="AR31" s="199">
        <f t="shared" si="19"/>
        <v>121.45833333333333</v>
      </c>
      <c r="AS31" s="13"/>
      <c r="AT31" s="159">
        <v>0</v>
      </c>
      <c r="AU31" s="174">
        <v>0</v>
      </c>
      <c r="AV31" s="159">
        <v>0</v>
      </c>
      <c r="AW31" s="159">
        <v>0</v>
      </c>
      <c r="AX31" s="174">
        <v>17</v>
      </c>
      <c r="AY31" s="159">
        <v>1440</v>
      </c>
      <c r="AZ31" s="159">
        <v>0</v>
      </c>
      <c r="BA31" s="332"/>
      <c r="BB31" s="175">
        <v>959</v>
      </c>
      <c r="BC31" s="175">
        <v>1016</v>
      </c>
      <c r="BD31" s="175">
        <v>969</v>
      </c>
      <c r="BE31" s="175">
        <f t="shared" si="11"/>
        <v>57</v>
      </c>
      <c r="BF31" s="175">
        <f t="shared" si="12"/>
        <v>8739.313860539547</v>
      </c>
      <c r="BG31" s="177">
        <f t="shared" si="16"/>
        <v>40.375</v>
      </c>
      <c r="BH31" s="191">
        <v>0</v>
      </c>
      <c r="BI31" s="155">
        <v>0</v>
      </c>
      <c r="BJ31" s="181">
        <v>24</v>
      </c>
      <c r="BK31" s="192">
        <v>24.78</v>
      </c>
      <c r="BL31" s="192">
        <v>20.6</v>
      </c>
      <c r="BM31" s="192">
        <v>24.16</v>
      </c>
      <c r="BN31" s="192">
        <v>980</v>
      </c>
      <c r="BO31" s="192">
        <v>50.09</v>
      </c>
      <c r="BP31" s="193">
        <v>0.94189999999999996</v>
      </c>
      <c r="BQ31" s="192">
        <v>95.56</v>
      </c>
      <c r="BR31" s="181">
        <v>87.59</v>
      </c>
      <c r="BS31" s="175">
        <v>12122</v>
      </c>
      <c r="BT31" s="175">
        <v>11575</v>
      </c>
      <c r="BU31" s="51">
        <f t="shared" si="14"/>
        <v>-547</v>
      </c>
      <c r="BV31" s="175">
        <f t="shared" si="17"/>
        <v>0</v>
      </c>
      <c r="BW31" s="177">
        <v>0</v>
      </c>
      <c r="BX31" s="177">
        <v>0</v>
      </c>
      <c r="BZ31" s="177">
        <v>24</v>
      </c>
      <c r="CA31" s="177">
        <v>6.48</v>
      </c>
      <c r="CC31" s="177">
        <v>2</v>
      </c>
      <c r="CD31" s="177">
        <v>4.7</v>
      </c>
      <c r="CE31" s="177">
        <v>2.1</v>
      </c>
      <c r="CF31" s="177">
        <v>0</v>
      </c>
    </row>
    <row r="32" spans="1:84">
      <c r="A32" s="453"/>
      <c r="B32" s="24">
        <v>43303</v>
      </c>
      <c r="C32" s="157">
        <v>93.2</v>
      </c>
      <c r="D32" s="197">
        <v>0.65300000000000002</v>
      </c>
      <c r="E32" s="171">
        <v>79.599999999999994</v>
      </c>
      <c r="F32" s="159">
        <v>101</v>
      </c>
      <c r="G32" s="159">
        <v>85</v>
      </c>
      <c r="H32" s="160">
        <v>24</v>
      </c>
      <c r="I32" s="160">
        <v>0</v>
      </c>
      <c r="J32" s="160">
        <v>24</v>
      </c>
      <c r="K32" s="160">
        <v>0</v>
      </c>
      <c r="L32" s="187">
        <v>0</v>
      </c>
      <c r="M32" s="187">
        <v>0</v>
      </c>
      <c r="N32" s="187">
        <v>0</v>
      </c>
      <c r="O32" s="187">
        <v>0</v>
      </c>
      <c r="P32" s="187">
        <v>0</v>
      </c>
      <c r="Q32" s="262">
        <v>0</v>
      </c>
      <c r="R32" s="257">
        <v>3466</v>
      </c>
      <c r="S32" s="262">
        <v>2931</v>
      </c>
      <c r="T32" s="262">
        <v>2931</v>
      </c>
      <c r="U32" s="262">
        <v>2859</v>
      </c>
      <c r="V32" s="263">
        <v>2958</v>
      </c>
      <c r="W32" s="160">
        <v>40</v>
      </c>
      <c r="X32" s="160">
        <v>0</v>
      </c>
      <c r="Y32" s="160">
        <v>43</v>
      </c>
      <c r="Z32" s="187">
        <v>0</v>
      </c>
      <c r="AA32" s="187">
        <v>57</v>
      </c>
      <c r="AB32" s="187">
        <v>0</v>
      </c>
      <c r="AC32" s="165">
        <f t="shared" si="0"/>
        <v>99</v>
      </c>
      <c r="AD32" s="166">
        <f t="shared" si="1"/>
        <v>-72</v>
      </c>
      <c r="AE32" s="159">
        <v>126</v>
      </c>
      <c r="AF32" s="167">
        <f t="shared" si="2"/>
        <v>0.97817460317460314</v>
      </c>
      <c r="AG32" s="168">
        <f t="shared" si="3"/>
        <v>144.41666666666666</v>
      </c>
      <c r="AH32" s="167">
        <f t="shared" si="4"/>
        <v>0.82487016733987306</v>
      </c>
      <c r="AI32" s="169">
        <f t="shared" si="18"/>
        <v>1</v>
      </c>
      <c r="AJ32" s="170">
        <f t="shared" si="6"/>
        <v>0.88571428571428568</v>
      </c>
      <c r="AK32" s="273">
        <v>7.8579999999999997</v>
      </c>
      <c r="AL32" s="274">
        <v>155.28</v>
      </c>
      <c r="AM32" s="275">
        <f t="shared" si="7"/>
        <v>1220.1902399999999</v>
      </c>
      <c r="AN32" s="273">
        <v>24.077740000000002</v>
      </c>
      <c r="AO32" s="321">
        <v>985.42200000000003</v>
      </c>
      <c r="AP32" s="172">
        <f t="shared" si="8"/>
        <v>23726.734706280004</v>
      </c>
      <c r="AQ32" s="202">
        <f t="shared" si="9"/>
        <v>8725.7519924029402</v>
      </c>
      <c r="AR32" s="199">
        <f t="shared" si="19"/>
        <v>122.125</v>
      </c>
      <c r="AS32" s="13"/>
      <c r="AT32" s="159">
        <v>0</v>
      </c>
      <c r="AU32" s="174">
        <v>0</v>
      </c>
      <c r="AV32" s="174">
        <v>0</v>
      </c>
      <c r="AW32" s="159">
        <v>0</v>
      </c>
      <c r="AX32" s="174">
        <v>16</v>
      </c>
      <c r="AY32" s="159">
        <v>1440</v>
      </c>
      <c r="AZ32" s="159">
        <v>0</v>
      </c>
      <c r="BA32" s="332"/>
      <c r="BB32" s="175">
        <v>964</v>
      </c>
      <c r="BC32" s="175">
        <v>1021</v>
      </c>
      <c r="BD32" s="175">
        <v>973</v>
      </c>
      <c r="BE32" s="175">
        <f t="shared" si="11"/>
        <v>57</v>
      </c>
      <c r="BF32" s="175">
        <f t="shared" si="12"/>
        <v>8725.7519924029402</v>
      </c>
      <c r="BG32" s="177">
        <f t="shared" si="16"/>
        <v>40.541666666666664</v>
      </c>
      <c r="BH32" s="191">
        <v>0</v>
      </c>
      <c r="BI32" s="155">
        <v>0</v>
      </c>
      <c r="BJ32" s="181">
        <v>24</v>
      </c>
      <c r="BK32" s="192">
        <v>24.98</v>
      </c>
      <c r="BL32" s="192">
        <v>20.86</v>
      </c>
      <c r="BM32" s="192">
        <v>24.32</v>
      </c>
      <c r="BN32" s="179">
        <v>980.33</v>
      </c>
      <c r="BO32" s="181">
        <v>50.1</v>
      </c>
      <c r="BP32" s="193">
        <v>0.94210000000000005</v>
      </c>
      <c r="BQ32" s="192">
        <v>95.41</v>
      </c>
      <c r="BR32" s="181">
        <v>87.53</v>
      </c>
      <c r="BS32" s="175">
        <v>12169</v>
      </c>
      <c r="BT32" s="175">
        <v>11631</v>
      </c>
      <c r="BU32" s="51">
        <f t="shared" si="14"/>
        <v>-538</v>
      </c>
      <c r="BV32" s="175">
        <f t="shared" si="17"/>
        <v>0</v>
      </c>
      <c r="BW32" s="177">
        <v>0</v>
      </c>
      <c r="BX32" s="177">
        <v>0</v>
      </c>
      <c r="BZ32" s="177">
        <v>24</v>
      </c>
      <c r="CA32" s="177">
        <v>6.47</v>
      </c>
      <c r="CC32" s="177">
        <v>2.1</v>
      </c>
      <c r="CD32" s="177">
        <v>4.7</v>
      </c>
      <c r="CE32" s="177">
        <v>2.1</v>
      </c>
      <c r="CF32" s="177">
        <v>0</v>
      </c>
    </row>
    <row r="33" spans="1:84" ht="15" customHeight="1">
      <c r="A33" s="525" t="s">
        <v>247</v>
      </c>
      <c r="B33" s="24">
        <v>43304</v>
      </c>
      <c r="C33" s="280">
        <v>92.4</v>
      </c>
      <c r="D33" s="281">
        <v>0.67800000000000005</v>
      </c>
      <c r="E33" s="282">
        <v>80.7</v>
      </c>
      <c r="F33" s="223">
        <v>99</v>
      </c>
      <c r="G33" s="223">
        <v>84</v>
      </c>
      <c r="H33" s="283">
        <v>24</v>
      </c>
      <c r="I33" s="283">
        <v>0</v>
      </c>
      <c r="J33" s="283">
        <v>24</v>
      </c>
      <c r="K33" s="283">
        <v>0</v>
      </c>
      <c r="L33" s="284">
        <v>0</v>
      </c>
      <c r="M33" s="284">
        <v>0</v>
      </c>
      <c r="N33" s="284">
        <v>0</v>
      </c>
      <c r="O33" s="284">
        <v>0</v>
      </c>
      <c r="P33" s="284">
        <v>0</v>
      </c>
      <c r="Q33" s="286">
        <v>0</v>
      </c>
      <c r="R33" s="285">
        <v>3472</v>
      </c>
      <c r="S33" s="286">
        <v>2919</v>
      </c>
      <c r="T33" s="286">
        <v>2919</v>
      </c>
      <c r="U33" s="286">
        <v>2849</v>
      </c>
      <c r="V33" s="287">
        <v>2952</v>
      </c>
      <c r="W33" s="283">
        <v>40</v>
      </c>
      <c r="X33" s="283">
        <v>0</v>
      </c>
      <c r="Y33" s="283">
        <v>42</v>
      </c>
      <c r="Z33" s="288">
        <v>0</v>
      </c>
      <c r="AA33" s="288">
        <v>57</v>
      </c>
      <c r="AB33" s="284">
        <v>0</v>
      </c>
      <c r="AC33" s="221">
        <f t="shared" si="0"/>
        <v>103</v>
      </c>
      <c r="AD33" s="222">
        <f t="shared" si="1"/>
        <v>-70</v>
      </c>
      <c r="AE33" s="223">
        <v>125</v>
      </c>
      <c r="AF33" s="224">
        <f t="shared" si="2"/>
        <v>0.98399999999999999</v>
      </c>
      <c r="AG33" s="225">
        <f t="shared" si="3"/>
        <v>144.66666666666666</v>
      </c>
      <c r="AH33" s="224">
        <f t="shared" si="4"/>
        <v>0.82056451612903225</v>
      </c>
      <c r="AI33" s="226">
        <f t="shared" si="18"/>
        <v>1</v>
      </c>
      <c r="AJ33" s="227">
        <f t="shared" si="6"/>
        <v>0.87769784172661869</v>
      </c>
      <c r="AK33" s="271">
        <v>7.8209999999999997</v>
      </c>
      <c r="AL33" s="272">
        <v>157</v>
      </c>
      <c r="AM33" s="282">
        <f t="shared" si="7"/>
        <v>1227.8969999999999</v>
      </c>
      <c r="AN33" s="271">
        <v>24.135729999999999</v>
      </c>
      <c r="AO33" s="320">
        <v>981.97</v>
      </c>
      <c r="AP33" s="290">
        <f t="shared" si="8"/>
        <v>23700.5627881</v>
      </c>
      <c r="AQ33" s="228">
        <f t="shared" si="9"/>
        <v>8749.8981355212363</v>
      </c>
      <c r="AR33" s="229">
        <f t="shared" si="19"/>
        <v>121.625</v>
      </c>
      <c r="AS33" s="291"/>
      <c r="AT33" s="223">
        <v>0</v>
      </c>
      <c r="AU33" s="292">
        <v>0</v>
      </c>
      <c r="AV33" s="292">
        <v>0</v>
      </c>
      <c r="AW33" s="223">
        <v>0</v>
      </c>
      <c r="AX33" s="292">
        <v>17</v>
      </c>
      <c r="AY33" s="223">
        <v>1440</v>
      </c>
      <c r="AZ33" s="223">
        <v>0</v>
      </c>
      <c r="BA33" s="293"/>
      <c r="BB33" s="242">
        <v>960</v>
      </c>
      <c r="BC33" s="242">
        <v>1022</v>
      </c>
      <c r="BD33" s="242">
        <v>970</v>
      </c>
      <c r="BE33" s="242">
        <f t="shared" si="11"/>
        <v>62</v>
      </c>
      <c r="BF33" s="242">
        <f t="shared" si="12"/>
        <v>8749.8981355212363</v>
      </c>
      <c r="BG33" s="294">
        <f t="shared" si="16"/>
        <v>40.416666666666664</v>
      </c>
      <c r="BH33" s="295">
        <v>0</v>
      </c>
      <c r="BI33" s="296">
        <v>0</v>
      </c>
      <c r="BJ33" s="297">
        <v>24</v>
      </c>
      <c r="BK33" s="298">
        <v>24.89</v>
      </c>
      <c r="BL33" s="298">
        <v>20.73</v>
      </c>
      <c r="BM33" s="298">
        <v>24.56</v>
      </c>
      <c r="BN33" s="299">
        <v>980.9</v>
      </c>
      <c r="BO33" s="298">
        <v>50.11</v>
      </c>
      <c r="BP33" s="300">
        <v>0.94269999999999998</v>
      </c>
      <c r="BQ33" s="298">
        <v>95.39</v>
      </c>
      <c r="BR33" s="297">
        <v>87.57</v>
      </c>
      <c r="BS33" s="242">
        <v>12163</v>
      </c>
      <c r="BT33" s="242">
        <v>11613</v>
      </c>
      <c r="BU33" s="301">
        <f t="shared" si="14"/>
        <v>-550</v>
      </c>
      <c r="BV33" s="242">
        <f t="shared" si="17"/>
        <v>0</v>
      </c>
      <c r="BW33" s="302">
        <v>0</v>
      </c>
      <c r="BX33" s="302">
        <v>0</v>
      </c>
      <c r="BZ33" s="302">
        <v>24</v>
      </c>
      <c r="CA33" s="302">
        <v>6.4</v>
      </c>
      <c r="CC33" s="302">
        <v>2.2000000000000002</v>
      </c>
      <c r="CD33" s="302">
        <v>4.7</v>
      </c>
      <c r="CE33" s="302">
        <v>2.1</v>
      </c>
      <c r="CF33" s="302">
        <v>0</v>
      </c>
    </row>
    <row r="34" spans="1:84">
      <c r="A34" s="525"/>
      <c r="B34" s="24">
        <v>43305</v>
      </c>
      <c r="C34" s="280">
        <v>95.7</v>
      </c>
      <c r="D34" s="281">
        <v>0.626</v>
      </c>
      <c r="E34" s="282">
        <v>80.8</v>
      </c>
      <c r="F34" s="223">
        <v>104</v>
      </c>
      <c r="G34" s="223">
        <v>87</v>
      </c>
      <c r="H34" s="283">
        <v>24</v>
      </c>
      <c r="I34" s="283">
        <v>0</v>
      </c>
      <c r="J34" s="283">
        <v>24</v>
      </c>
      <c r="K34" s="283">
        <v>0</v>
      </c>
      <c r="L34" s="284">
        <v>0</v>
      </c>
      <c r="M34" s="284">
        <v>0</v>
      </c>
      <c r="N34" s="284">
        <v>0</v>
      </c>
      <c r="O34" s="284">
        <v>0</v>
      </c>
      <c r="P34" s="284">
        <v>0</v>
      </c>
      <c r="Q34" s="286">
        <v>0</v>
      </c>
      <c r="R34" s="285">
        <v>3442</v>
      </c>
      <c r="S34" s="286">
        <v>2910</v>
      </c>
      <c r="T34" s="286">
        <v>2910</v>
      </c>
      <c r="U34" s="286">
        <v>2837</v>
      </c>
      <c r="V34" s="287">
        <v>2941</v>
      </c>
      <c r="W34" s="283">
        <v>40</v>
      </c>
      <c r="X34" s="283">
        <v>0</v>
      </c>
      <c r="Y34" s="283">
        <v>42</v>
      </c>
      <c r="Z34" s="288">
        <v>0</v>
      </c>
      <c r="AA34" s="288">
        <v>57</v>
      </c>
      <c r="AB34" s="284">
        <v>0</v>
      </c>
      <c r="AC34" s="221">
        <f t="shared" si="0"/>
        <v>104</v>
      </c>
      <c r="AD34" s="222">
        <f t="shared" si="1"/>
        <v>-73</v>
      </c>
      <c r="AE34" s="223">
        <v>124</v>
      </c>
      <c r="AF34" s="224">
        <f t="shared" si="2"/>
        <v>0.988239247311828</v>
      </c>
      <c r="AG34" s="225">
        <f t="shared" si="3"/>
        <v>143.41666666666666</v>
      </c>
      <c r="AH34" s="224">
        <f t="shared" si="4"/>
        <v>0.82423009877977915</v>
      </c>
      <c r="AI34" s="226">
        <f t="shared" si="18"/>
        <v>1</v>
      </c>
      <c r="AJ34" s="227">
        <f t="shared" si="6"/>
        <v>0.87769784172661869</v>
      </c>
      <c r="AK34" s="271">
        <v>7.7839999999999998</v>
      </c>
      <c r="AL34" s="272">
        <v>155.77000000000001</v>
      </c>
      <c r="AM34" s="282">
        <f t="shared" si="7"/>
        <v>1212.51368</v>
      </c>
      <c r="AN34" s="271">
        <v>24.018619999999999</v>
      </c>
      <c r="AO34" s="320">
        <v>981.4588</v>
      </c>
      <c r="AP34" s="290">
        <f t="shared" si="8"/>
        <v>23573.285962856</v>
      </c>
      <c r="AQ34" s="228">
        <f t="shared" si="9"/>
        <v>8736.6230676263658</v>
      </c>
      <c r="AR34" s="229">
        <f t="shared" si="19"/>
        <v>121.25</v>
      </c>
      <c r="AS34" s="291"/>
      <c r="AT34" s="223">
        <v>0</v>
      </c>
      <c r="AU34" s="292">
        <v>0</v>
      </c>
      <c r="AV34" s="292">
        <v>0</v>
      </c>
      <c r="AW34" s="223">
        <v>0</v>
      </c>
      <c r="AX34" s="292">
        <v>17</v>
      </c>
      <c r="AY34" s="223">
        <v>1440</v>
      </c>
      <c r="AZ34" s="223">
        <v>0</v>
      </c>
      <c r="BA34" s="293"/>
      <c r="BB34" s="242">
        <v>956</v>
      </c>
      <c r="BC34" s="242">
        <v>1016</v>
      </c>
      <c r="BD34" s="242">
        <v>969</v>
      </c>
      <c r="BE34" s="242">
        <f t="shared" si="11"/>
        <v>60</v>
      </c>
      <c r="BF34" s="242">
        <f t="shared" si="12"/>
        <v>8736.6230676263658</v>
      </c>
      <c r="BG34" s="294">
        <f t="shared" si="16"/>
        <v>40.375</v>
      </c>
      <c r="BH34" s="295">
        <v>0</v>
      </c>
      <c r="BI34" s="296">
        <v>0</v>
      </c>
      <c r="BJ34" s="297">
        <v>24</v>
      </c>
      <c r="BK34" s="298">
        <v>24.77</v>
      </c>
      <c r="BL34" s="298">
        <v>20.64</v>
      </c>
      <c r="BM34" s="298">
        <v>24.54</v>
      </c>
      <c r="BN34" s="299">
        <v>981.67</v>
      </c>
      <c r="BO34" s="298">
        <v>50.07</v>
      </c>
      <c r="BP34" s="300">
        <v>0.94340000000000002</v>
      </c>
      <c r="BQ34" s="298">
        <v>95.19</v>
      </c>
      <c r="BR34" s="297">
        <v>87.55</v>
      </c>
      <c r="BS34" s="242">
        <v>12159</v>
      </c>
      <c r="BT34" s="242">
        <v>11617</v>
      </c>
      <c r="BU34" s="301">
        <f t="shared" si="14"/>
        <v>-542</v>
      </c>
      <c r="BV34" s="242">
        <f t="shared" si="17"/>
        <v>0</v>
      </c>
      <c r="BW34" s="302">
        <v>0</v>
      </c>
      <c r="BX34" s="302">
        <v>0</v>
      </c>
      <c r="BZ34" s="302">
        <v>24</v>
      </c>
      <c r="CA34" s="302">
        <v>6.4</v>
      </c>
      <c r="CC34" s="302">
        <v>2.1</v>
      </c>
      <c r="CD34" s="302">
        <v>4.8</v>
      </c>
      <c r="CE34" s="302">
        <v>2.1</v>
      </c>
      <c r="CF34" s="302">
        <v>0</v>
      </c>
    </row>
    <row r="35" spans="1:84">
      <c r="A35" s="525"/>
      <c r="B35" s="24">
        <v>43306</v>
      </c>
      <c r="C35" s="280">
        <v>96.2</v>
      </c>
      <c r="D35" s="281">
        <v>0.63500000000000001</v>
      </c>
      <c r="E35" s="282">
        <v>81.3</v>
      </c>
      <c r="F35" s="223">
        <v>103</v>
      </c>
      <c r="G35" s="223">
        <v>91</v>
      </c>
      <c r="H35" s="283">
        <v>24</v>
      </c>
      <c r="I35" s="283">
        <v>0</v>
      </c>
      <c r="J35" s="283">
        <v>24</v>
      </c>
      <c r="K35" s="283">
        <v>0</v>
      </c>
      <c r="L35" s="284">
        <v>0</v>
      </c>
      <c r="M35" s="284">
        <v>0</v>
      </c>
      <c r="N35" s="284">
        <v>0</v>
      </c>
      <c r="O35" s="284">
        <v>0</v>
      </c>
      <c r="P35" s="284">
        <v>0</v>
      </c>
      <c r="Q35" s="286">
        <v>0</v>
      </c>
      <c r="R35" s="285">
        <v>3433</v>
      </c>
      <c r="S35" s="286">
        <v>2909</v>
      </c>
      <c r="T35" s="286">
        <v>2909</v>
      </c>
      <c r="U35" s="286">
        <v>2839</v>
      </c>
      <c r="V35" s="287">
        <v>2939</v>
      </c>
      <c r="W35" s="283">
        <v>40</v>
      </c>
      <c r="X35" s="283">
        <v>0</v>
      </c>
      <c r="Y35" s="283">
        <v>42</v>
      </c>
      <c r="Z35" s="288">
        <v>0</v>
      </c>
      <c r="AA35" s="288">
        <v>57</v>
      </c>
      <c r="AB35" s="284">
        <v>0</v>
      </c>
      <c r="AC35" s="221">
        <f t="shared" si="0"/>
        <v>100</v>
      </c>
      <c r="AD35" s="222">
        <f t="shared" si="1"/>
        <v>-70</v>
      </c>
      <c r="AE35" s="223">
        <v>124</v>
      </c>
      <c r="AF35" s="224">
        <f t="shared" si="2"/>
        <v>0.98756720430107525</v>
      </c>
      <c r="AG35" s="225">
        <f t="shared" si="3"/>
        <v>143.04166666666666</v>
      </c>
      <c r="AH35" s="224">
        <f t="shared" si="4"/>
        <v>0.8269734925720944</v>
      </c>
      <c r="AI35" s="226">
        <f t="shared" si="18"/>
        <v>1</v>
      </c>
      <c r="AJ35" s="227">
        <f t="shared" si="6"/>
        <v>0.87769784172661869</v>
      </c>
      <c r="AK35" s="271">
        <v>7.8079999999999998</v>
      </c>
      <c r="AL35" s="272">
        <v>156.76</v>
      </c>
      <c r="AM35" s="282">
        <f t="shared" si="7"/>
        <v>1223.98208</v>
      </c>
      <c r="AN35" s="271">
        <v>23.98611</v>
      </c>
      <c r="AO35" s="320">
        <v>984.08328820304757</v>
      </c>
      <c r="AP35" s="290">
        <f t="shared" si="8"/>
        <v>23604.33</v>
      </c>
      <c r="AQ35" s="228">
        <f t="shared" si="9"/>
        <v>8745.4427897146888</v>
      </c>
      <c r="AR35" s="229">
        <f t="shared" si="19"/>
        <v>121.20833333333333</v>
      </c>
      <c r="AS35" s="291"/>
      <c r="AT35" s="223">
        <v>0</v>
      </c>
      <c r="AU35" s="292">
        <v>0</v>
      </c>
      <c r="AV35" s="292">
        <v>0</v>
      </c>
      <c r="AW35" s="223">
        <v>0</v>
      </c>
      <c r="AX35" s="292">
        <v>17</v>
      </c>
      <c r="AY35" s="223">
        <v>1440</v>
      </c>
      <c r="AZ35" s="223">
        <v>0</v>
      </c>
      <c r="BA35" s="293"/>
      <c r="BB35" s="242">
        <v>954</v>
      </c>
      <c r="BC35" s="242">
        <v>1018</v>
      </c>
      <c r="BD35" s="242">
        <v>967</v>
      </c>
      <c r="BE35" s="242">
        <f t="shared" si="11"/>
        <v>64</v>
      </c>
      <c r="BF35" s="242">
        <f t="shared" si="12"/>
        <v>8745.4427897146888</v>
      </c>
      <c r="BG35" s="294">
        <f t="shared" si="16"/>
        <v>40.291666666666664</v>
      </c>
      <c r="BH35" s="295">
        <v>0</v>
      </c>
      <c r="BI35" s="296">
        <v>0</v>
      </c>
      <c r="BJ35" s="297">
        <v>24</v>
      </c>
      <c r="BK35" s="298">
        <v>24.82</v>
      </c>
      <c r="BL35" s="298">
        <v>20.72</v>
      </c>
      <c r="BM35" s="298">
        <v>24.34</v>
      </c>
      <c r="BN35" s="299">
        <v>979.21</v>
      </c>
      <c r="BO35" s="298">
        <v>50.16</v>
      </c>
      <c r="BP35" s="300">
        <v>0.93030000000000002</v>
      </c>
      <c r="BQ35" s="298">
        <v>95.11</v>
      </c>
      <c r="BR35" s="297">
        <v>87.55</v>
      </c>
      <c r="BS35" s="242">
        <v>12198</v>
      </c>
      <c r="BT35" s="242">
        <v>11629</v>
      </c>
      <c r="BU35" s="301">
        <f t="shared" si="14"/>
        <v>-569</v>
      </c>
      <c r="BV35" s="242">
        <f t="shared" si="17"/>
        <v>0</v>
      </c>
      <c r="BW35" s="302">
        <v>0</v>
      </c>
      <c r="BX35" s="302">
        <v>0</v>
      </c>
      <c r="BZ35" s="302">
        <v>24</v>
      </c>
      <c r="CA35" s="302">
        <v>6.53</v>
      </c>
      <c r="CC35" s="302">
        <v>2.1</v>
      </c>
      <c r="CD35" s="302">
        <v>4.7</v>
      </c>
      <c r="CE35" s="302">
        <v>2.1</v>
      </c>
      <c r="CF35" s="302">
        <v>0</v>
      </c>
    </row>
    <row r="36" spans="1:84">
      <c r="A36" s="525"/>
      <c r="B36" s="24">
        <v>43307</v>
      </c>
      <c r="C36" s="280">
        <v>94.1</v>
      </c>
      <c r="D36" s="281">
        <v>0.59899999999999998</v>
      </c>
      <c r="E36" s="282">
        <v>77.3</v>
      </c>
      <c r="F36" s="223">
        <v>100</v>
      </c>
      <c r="G36" s="223">
        <v>90</v>
      </c>
      <c r="H36" s="283">
        <v>24</v>
      </c>
      <c r="I36" s="283">
        <v>0</v>
      </c>
      <c r="J36" s="283">
        <v>24</v>
      </c>
      <c r="K36" s="283">
        <v>0</v>
      </c>
      <c r="L36" s="284">
        <v>0</v>
      </c>
      <c r="M36" s="284">
        <v>0</v>
      </c>
      <c r="N36" s="284">
        <v>0</v>
      </c>
      <c r="O36" s="284">
        <v>0</v>
      </c>
      <c r="P36" s="284">
        <v>0</v>
      </c>
      <c r="Q36" s="286">
        <v>0</v>
      </c>
      <c r="R36" s="285">
        <v>3454</v>
      </c>
      <c r="S36" s="286">
        <v>2943</v>
      </c>
      <c r="T36" s="286">
        <v>2943</v>
      </c>
      <c r="U36" s="286">
        <v>2872</v>
      </c>
      <c r="V36" s="287">
        <v>2975</v>
      </c>
      <c r="W36" s="283">
        <v>40</v>
      </c>
      <c r="X36" s="283">
        <v>0</v>
      </c>
      <c r="Y36" s="283">
        <v>43</v>
      </c>
      <c r="Z36" s="288">
        <v>0</v>
      </c>
      <c r="AA36" s="288">
        <v>57</v>
      </c>
      <c r="AB36" s="284">
        <v>0</v>
      </c>
      <c r="AC36" s="221">
        <f t="shared" si="0"/>
        <v>103</v>
      </c>
      <c r="AD36" s="222">
        <f t="shared" si="1"/>
        <v>-71</v>
      </c>
      <c r="AE36" s="223">
        <v>125</v>
      </c>
      <c r="AF36" s="224">
        <f t="shared" si="2"/>
        <v>0.9916666666666667</v>
      </c>
      <c r="AG36" s="225">
        <f t="shared" si="3"/>
        <v>143.91666666666666</v>
      </c>
      <c r="AH36" s="224">
        <f t="shared" si="4"/>
        <v>0.83149971048060223</v>
      </c>
      <c r="AI36" s="226">
        <f t="shared" si="18"/>
        <v>1</v>
      </c>
      <c r="AJ36" s="227">
        <f t="shared" si="6"/>
        <v>0.88571428571428568</v>
      </c>
      <c r="AK36" s="255">
        <v>7.7649999999999997</v>
      </c>
      <c r="AL36" s="256">
        <v>154.18</v>
      </c>
      <c r="AM36" s="282">
        <f t="shared" si="7"/>
        <v>1197.2076999999999</v>
      </c>
      <c r="AN36" s="255">
        <v>24.24044</v>
      </c>
      <c r="AO36" s="323">
        <v>979.99334995569393</v>
      </c>
      <c r="AP36" s="290">
        <f t="shared" si="8"/>
        <v>23755.47</v>
      </c>
      <c r="AQ36" s="228">
        <f t="shared" si="9"/>
        <v>8688.2582520891374</v>
      </c>
      <c r="AR36" s="229">
        <f t="shared" si="19"/>
        <v>122.625</v>
      </c>
      <c r="AS36" s="291"/>
      <c r="AT36" s="223">
        <v>0</v>
      </c>
      <c r="AU36" s="292">
        <v>0</v>
      </c>
      <c r="AV36" s="292">
        <v>0</v>
      </c>
      <c r="AW36" s="223">
        <v>0</v>
      </c>
      <c r="AX36" s="292">
        <v>16</v>
      </c>
      <c r="AY36" s="223">
        <v>1440</v>
      </c>
      <c r="AZ36" s="223">
        <v>0</v>
      </c>
      <c r="BA36" s="293"/>
      <c r="BB36" s="242">
        <v>967</v>
      </c>
      <c r="BC36" s="242">
        <v>1029</v>
      </c>
      <c r="BD36" s="242">
        <v>979</v>
      </c>
      <c r="BE36" s="242">
        <f t="shared" si="11"/>
        <v>62</v>
      </c>
      <c r="BF36" s="242">
        <f t="shared" si="12"/>
        <v>8688.2582520891374</v>
      </c>
      <c r="BG36" s="294">
        <f t="shared" si="16"/>
        <v>40.791666666666664</v>
      </c>
      <c r="BH36" s="295">
        <v>0</v>
      </c>
      <c r="BI36" s="296">
        <v>0</v>
      </c>
      <c r="BJ36" s="297">
        <v>24</v>
      </c>
      <c r="BK36" s="298">
        <v>25.1</v>
      </c>
      <c r="BL36" s="298">
        <v>21.03</v>
      </c>
      <c r="BM36" s="298">
        <v>24.09</v>
      </c>
      <c r="BN36" s="299">
        <v>980.46</v>
      </c>
      <c r="BO36" s="298">
        <v>50.18</v>
      </c>
      <c r="BP36" s="300">
        <v>0.94279999999999997</v>
      </c>
      <c r="BQ36" s="298">
        <v>94.83</v>
      </c>
      <c r="BR36" s="297">
        <v>87.39</v>
      </c>
      <c r="BS36" s="242">
        <v>12189</v>
      </c>
      <c r="BT36" s="242">
        <v>11608</v>
      </c>
      <c r="BU36" s="301">
        <f t="shared" si="14"/>
        <v>-581</v>
      </c>
      <c r="BV36" s="242">
        <f t="shared" si="17"/>
        <v>0</v>
      </c>
      <c r="BW36" s="302">
        <v>0</v>
      </c>
      <c r="BX36" s="302">
        <v>0</v>
      </c>
      <c r="BZ36" s="302">
        <v>24</v>
      </c>
      <c r="CA36" s="302">
        <v>6.67</v>
      </c>
      <c r="CC36" s="302">
        <v>2.1</v>
      </c>
      <c r="CD36" s="302">
        <v>4.7</v>
      </c>
      <c r="CE36" s="302">
        <v>2.1</v>
      </c>
      <c r="CF36" s="302">
        <v>0</v>
      </c>
    </row>
    <row r="37" spans="1:84">
      <c r="A37" s="525"/>
      <c r="B37" s="24">
        <v>43308</v>
      </c>
      <c r="C37" s="280">
        <v>94.07</v>
      </c>
      <c r="D37" s="281">
        <v>0.61960000000000004</v>
      </c>
      <c r="E37" s="282">
        <v>78.12</v>
      </c>
      <c r="F37" s="223">
        <v>102</v>
      </c>
      <c r="G37" s="223">
        <v>88</v>
      </c>
      <c r="H37" s="283">
        <v>24</v>
      </c>
      <c r="I37" s="283">
        <v>0</v>
      </c>
      <c r="J37" s="283">
        <v>24</v>
      </c>
      <c r="K37" s="283">
        <v>0</v>
      </c>
      <c r="L37" s="284">
        <v>0</v>
      </c>
      <c r="M37" s="284">
        <v>0</v>
      </c>
      <c r="N37" s="284">
        <v>0</v>
      </c>
      <c r="O37" s="284">
        <v>0</v>
      </c>
      <c r="P37" s="284">
        <v>0</v>
      </c>
      <c r="Q37" s="223">
        <v>0</v>
      </c>
      <c r="R37" s="285">
        <v>3450</v>
      </c>
      <c r="S37" s="286">
        <v>2933</v>
      </c>
      <c r="T37" s="286">
        <v>2933</v>
      </c>
      <c r="U37" s="286">
        <v>2862</v>
      </c>
      <c r="V37" s="287">
        <v>2964</v>
      </c>
      <c r="W37" s="283">
        <v>40</v>
      </c>
      <c r="X37" s="283">
        <v>0</v>
      </c>
      <c r="Y37" s="283">
        <v>43</v>
      </c>
      <c r="Z37" s="288">
        <v>0</v>
      </c>
      <c r="AA37" s="288">
        <v>57</v>
      </c>
      <c r="AB37" s="284">
        <v>0</v>
      </c>
      <c r="AC37" s="221">
        <f t="shared" si="0"/>
        <v>102</v>
      </c>
      <c r="AD37" s="222">
        <f t="shared" si="1"/>
        <v>-71</v>
      </c>
      <c r="AE37" s="223">
        <v>125</v>
      </c>
      <c r="AF37" s="224">
        <f t="shared" si="2"/>
        <v>0.98799999999999999</v>
      </c>
      <c r="AG37" s="225">
        <f t="shared" si="3"/>
        <v>143.75</v>
      </c>
      <c r="AH37" s="224">
        <f t="shared" si="4"/>
        <v>0.8295652173913044</v>
      </c>
      <c r="AI37" s="226">
        <f t="shared" si="18"/>
        <v>1</v>
      </c>
      <c r="AJ37" s="227">
        <f t="shared" si="6"/>
        <v>0.88571428571428568</v>
      </c>
      <c r="AK37" s="255">
        <v>7.78</v>
      </c>
      <c r="AL37" s="256">
        <v>157.52000000000001</v>
      </c>
      <c r="AM37" s="282">
        <f t="shared" si="7"/>
        <v>1225.5056000000002</v>
      </c>
      <c r="AN37" s="255">
        <v>24.225909999999999</v>
      </c>
      <c r="AO37" s="323">
        <v>981.09123218297213</v>
      </c>
      <c r="AP37" s="290">
        <f t="shared" si="8"/>
        <v>23767.827892653786</v>
      </c>
      <c r="AQ37" s="228">
        <f t="shared" si="9"/>
        <v>8732.8209268531755</v>
      </c>
      <c r="AR37" s="229">
        <f t="shared" si="19"/>
        <v>122.20833333333333</v>
      </c>
      <c r="AS37" s="291"/>
      <c r="AT37" s="223">
        <v>0</v>
      </c>
      <c r="AU37" s="292">
        <v>0</v>
      </c>
      <c r="AV37" s="292">
        <v>0</v>
      </c>
      <c r="AW37" s="223">
        <v>0</v>
      </c>
      <c r="AX37" s="292">
        <v>16</v>
      </c>
      <c r="AY37" s="223">
        <v>1440</v>
      </c>
      <c r="AZ37" s="223">
        <v>0</v>
      </c>
      <c r="BA37" s="293"/>
      <c r="BB37" s="242">
        <v>963</v>
      </c>
      <c r="BC37" s="242">
        <v>1026</v>
      </c>
      <c r="BD37" s="242">
        <v>975</v>
      </c>
      <c r="BE37" s="242">
        <f t="shared" si="11"/>
        <v>63</v>
      </c>
      <c r="BF37" s="242">
        <f t="shared" si="12"/>
        <v>8732.8209268531755</v>
      </c>
      <c r="BG37" s="294">
        <f t="shared" si="16"/>
        <v>40.625</v>
      </c>
      <c r="BH37" s="295">
        <v>0</v>
      </c>
      <c r="BI37" s="296">
        <v>0</v>
      </c>
      <c r="BJ37" s="297">
        <v>24</v>
      </c>
      <c r="BK37" s="298">
        <v>25.07</v>
      </c>
      <c r="BL37" s="298">
        <v>20.95</v>
      </c>
      <c r="BM37" s="298">
        <v>24.065000000000001</v>
      </c>
      <c r="BN37" s="299">
        <v>981.46</v>
      </c>
      <c r="BO37" s="298">
        <v>50.14</v>
      </c>
      <c r="BP37" s="300">
        <v>0.94259999999999999</v>
      </c>
      <c r="BQ37" s="298">
        <v>94.93</v>
      </c>
      <c r="BR37" s="297">
        <v>87.4</v>
      </c>
      <c r="BS37" s="242">
        <v>12218</v>
      </c>
      <c r="BT37" s="242">
        <v>11625</v>
      </c>
      <c r="BU37" s="301">
        <f t="shared" si="14"/>
        <v>-593</v>
      </c>
      <c r="BV37" s="242">
        <f t="shared" si="17"/>
        <v>0</v>
      </c>
      <c r="BW37" s="302">
        <v>0</v>
      </c>
      <c r="BX37" s="302">
        <v>0</v>
      </c>
      <c r="BZ37" s="302">
        <v>24</v>
      </c>
      <c r="CA37" s="302">
        <v>6.47</v>
      </c>
      <c r="CC37" s="302">
        <v>2.1</v>
      </c>
      <c r="CD37" s="302">
        <v>4.7</v>
      </c>
      <c r="CE37" s="302">
        <v>2.1</v>
      </c>
      <c r="CF37" s="302">
        <v>0</v>
      </c>
    </row>
    <row r="38" spans="1:84">
      <c r="A38" s="525"/>
      <c r="B38" s="24">
        <v>43309</v>
      </c>
      <c r="C38" s="280">
        <v>92.4</v>
      </c>
      <c r="D38" s="281">
        <v>0.6583</v>
      </c>
      <c r="E38" s="282">
        <v>80.5</v>
      </c>
      <c r="F38" s="223">
        <v>98</v>
      </c>
      <c r="G38" s="223">
        <v>87</v>
      </c>
      <c r="H38" s="283">
        <v>24</v>
      </c>
      <c r="I38" s="283">
        <v>0</v>
      </c>
      <c r="J38" s="283">
        <v>24</v>
      </c>
      <c r="K38" s="283">
        <v>0</v>
      </c>
      <c r="L38" s="284">
        <v>0</v>
      </c>
      <c r="M38" s="284">
        <v>0</v>
      </c>
      <c r="N38" s="284">
        <v>0</v>
      </c>
      <c r="O38" s="284">
        <v>0</v>
      </c>
      <c r="P38" s="284">
        <v>0</v>
      </c>
      <c r="Q38" s="280">
        <v>0</v>
      </c>
      <c r="R38" s="285">
        <v>3475</v>
      </c>
      <c r="S38" s="286">
        <v>2934</v>
      </c>
      <c r="T38" s="286">
        <v>2934</v>
      </c>
      <c r="U38" s="286">
        <v>2861</v>
      </c>
      <c r="V38" s="287">
        <v>2961</v>
      </c>
      <c r="W38" s="283">
        <v>40</v>
      </c>
      <c r="X38" s="283">
        <v>0</v>
      </c>
      <c r="Y38" s="283">
        <v>43</v>
      </c>
      <c r="Z38" s="288">
        <v>0</v>
      </c>
      <c r="AA38" s="288">
        <v>57</v>
      </c>
      <c r="AB38" s="284">
        <v>0</v>
      </c>
      <c r="AC38" s="221">
        <f t="shared" si="0"/>
        <v>100</v>
      </c>
      <c r="AD38" s="222">
        <f t="shared" si="1"/>
        <v>-73</v>
      </c>
      <c r="AE38" s="223">
        <v>125</v>
      </c>
      <c r="AF38" s="224">
        <f t="shared" si="2"/>
        <v>0.98699999999999999</v>
      </c>
      <c r="AG38" s="225">
        <f t="shared" si="3"/>
        <v>144.79166666666666</v>
      </c>
      <c r="AH38" s="224">
        <f t="shared" si="4"/>
        <v>0.82330935251798565</v>
      </c>
      <c r="AI38" s="226">
        <f t="shared" si="18"/>
        <v>1</v>
      </c>
      <c r="AJ38" s="227">
        <f t="shared" si="6"/>
        <v>0.88571428571428568</v>
      </c>
      <c r="AK38" s="255">
        <v>7.7770000000000001</v>
      </c>
      <c r="AL38" s="256">
        <v>154.27000000000001</v>
      </c>
      <c r="AM38" s="282">
        <f t="shared" si="7"/>
        <v>1199.7577900000001</v>
      </c>
      <c r="AN38" s="255">
        <v>24.28126</v>
      </c>
      <c r="AO38" s="323">
        <v>976.39440434328128</v>
      </c>
      <c r="AP38" s="290">
        <f t="shared" si="8"/>
        <v>23708.086394404341</v>
      </c>
      <c r="AQ38" s="228">
        <f t="shared" si="9"/>
        <v>8705.9923748354922</v>
      </c>
      <c r="AR38" s="229">
        <f t="shared" si="19"/>
        <v>122.25</v>
      </c>
      <c r="AS38" s="291"/>
      <c r="AT38" s="223">
        <v>0</v>
      </c>
      <c r="AU38" s="292">
        <v>0</v>
      </c>
      <c r="AV38" s="292">
        <v>0</v>
      </c>
      <c r="AW38" s="223">
        <v>0</v>
      </c>
      <c r="AX38" s="292">
        <v>16</v>
      </c>
      <c r="AY38" s="223">
        <v>1440</v>
      </c>
      <c r="AZ38" s="223">
        <v>0</v>
      </c>
      <c r="BA38" s="293"/>
      <c r="BB38" s="242">
        <v>962</v>
      </c>
      <c r="BC38" s="242">
        <v>1024</v>
      </c>
      <c r="BD38" s="242">
        <v>975</v>
      </c>
      <c r="BE38" s="242">
        <f t="shared" si="11"/>
        <v>62</v>
      </c>
      <c r="BF38" s="242">
        <f t="shared" si="12"/>
        <v>8705.9923748354922</v>
      </c>
      <c r="BG38" s="294">
        <f t="shared" si="16"/>
        <v>40.625</v>
      </c>
      <c r="BH38" s="295">
        <v>0</v>
      </c>
      <c r="BI38" s="296">
        <v>0</v>
      </c>
      <c r="BJ38" s="297">
        <v>24</v>
      </c>
      <c r="BK38" s="298">
        <v>25.16</v>
      </c>
      <c r="BL38" s="298">
        <v>24.04</v>
      </c>
      <c r="BM38" s="298">
        <v>24.24</v>
      </c>
      <c r="BN38" s="299">
        <v>981.8</v>
      </c>
      <c r="BO38" s="298">
        <v>50.14</v>
      </c>
      <c r="BP38" s="300">
        <v>0.94299999999999995</v>
      </c>
      <c r="BQ38" s="298">
        <v>95.04</v>
      </c>
      <c r="BR38" s="297">
        <v>87.45</v>
      </c>
      <c r="BS38" s="242">
        <v>12270</v>
      </c>
      <c r="BT38" s="242">
        <v>11684</v>
      </c>
      <c r="BU38" s="301">
        <f t="shared" si="14"/>
        <v>-586</v>
      </c>
      <c r="BV38" s="242">
        <f t="shared" si="17"/>
        <v>0</v>
      </c>
      <c r="BW38" s="302">
        <v>0</v>
      </c>
      <c r="BX38" s="302">
        <v>0</v>
      </c>
      <c r="BZ38" s="302">
        <v>24</v>
      </c>
      <c r="CA38" s="302">
        <v>6.4</v>
      </c>
      <c r="CC38" s="302">
        <v>2.1</v>
      </c>
      <c r="CD38" s="302">
        <v>4.6500000000000004</v>
      </c>
      <c r="CE38" s="302">
        <v>2.1</v>
      </c>
      <c r="CF38" s="302">
        <v>0</v>
      </c>
    </row>
    <row r="39" spans="1:84">
      <c r="A39" s="525"/>
      <c r="B39" s="24">
        <v>43310</v>
      </c>
      <c r="C39" s="280">
        <v>93.6</v>
      </c>
      <c r="D39" s="281">
        <v>0.66600000000000004</v>
      </c>
      <c r="E39" s="282">
        <v>81</v>
      </c>
      <c r="F39" s="223">
        <v>101</v>
      </c>
      <c r="G39" s="223">
        <v>88</v>
      </c>
      <c r="H39" s="283">
        <v>24</v>
      </c>
      <c r="I39" s="283">
        <v>0</v>
      </c>
      <c r="J39" s="283">
        <v>24</v>
      </c>
      <c r="K39" s="283">
        <v>0</v>
      </c>
      <c r="L39" s="284"/>
      <c r="M39" s="284">
        <v>0</v>
      </c>
      <c r="N39" s="284">
        <v>0</v>
      </c>
      <c r="O39" s="284">
        <v>0</v>
      </c>
      <c r="P39" s="284">
        <v>0</v>
      </c>
      <c r="Q39" s="280">
        <v>0</v>
      </c>
      <c r="R39" s="285">
        <v>3463</v>
      </c>
      <c r="S39" s="286">
        <v>2918</v>
      </c>
      <c r="T39" s="286">
        <v>2918</v>
      </c>
      <c r="U39" s="286">
        <v>2843</v>
      </c>
      <c r="V39" s="287">
        <v>2944</v>
      </c>
      <c r="W39" s="283">
        <v>40</v>
      </c>
      <c r="X39" s="283">
        <v>0</v>
      </c>
      <c r="Y39" s="283">
        <v>42</v>
      </c>
      <c r="Z39" s="288">
        <v>0</v>
      </c>
      <c r="AA39" s="288">
        <v>57</v>
      </c>
      <c r="AB39" s="284">
        <v>0</v>
      </c>
      <c r="AC39" s="221">
        <f>V39-U39+AZ39</f>
        <v>101</v>
      </c>
      <c r="AD39" s="222">
        <f>U39-T39</f>
        <v>-75</v>
      </c>
      <c r="AE39" s="223">
        <v>125</v>
      </c>
      <c r="AF39" s="224">
        <f>IF(AE39&gt;0, V39/(AE39*24),"no data")</f>
        <v>0.98133333333333328</v>
      </c>
      <c r="AG39" s="225">
        <f>IF(R39&gt;0,R39/24,"no data")</f>
        <v>144.29166666666666</v>
      </c>
      <c r="AH39" s="224">
        <f>IF(U39&gt;0,(U39/R39),"no data")</f>
        <v>0.82096448166329772</v>
      </c>
      <c r="AI39" s="226">
        <f>IF(U39&gt;0,(1440-((W39*X39)+(Y39*Z39)+(AA39*AB39))/(W39+Y39+AA39))/1440,"no data")</f>
        <v>1</v>
      </c>
      <c r="AJ39" s="227">
        <f>IF(U39&gt;0,(1440-((X39*W39+AT39*AU39)+(Z39*Y39+AV39*AW39)+(AA39*AB39+AX39*AY39))/(W39+Y39+AA39))/1440,"no data")</f>
        <v>0.87769784172661869</v>
      </c>
      <c r="AK39" s="255">
        <v>7.7729999999999997</v>
      </c>
      <c r="AL39" s="256">
        <v>156.72999999999999</v>
      </c>
      <c r="AM39" s="282">
        <f>AK39*AL39</f>
        <v>1218.2622899999999</v>
      </c>
      <c r="AN39" s="255">
        <v>24.126450000000002</v>
      </c>
      <c r="AO39" s="289">
        <v>977.24945029210676</v>
      </c>
      <c r="AP39" s="290">
        <f>AN39*AO39</f>
        <v>23577.56</v>
      </c>
      <c r="AQ39" s="228">
        <f>IF(U39&gt;0,((((AK39*AL39)+(AN39*AO39))/(U39*1000))*1000000),"no data")</f>
        <v>8721.7102673232512</v>
      </c>
      <c r="AR39" s="229">
        <f>IF(S39&gt;0,S39/24, "no data")</f>
        <v>121.58333333333333</v>
      </c>
      <c r="AS39" s="291"/>
      <c r="AT39" s="223">
        <v>0</v>
      </c>
      <c r="AU39" s="292">
        <v>0</v>
      </c>
      <c r="AV39" s="292">
        <v>0</v>
      </c>
      <c r="AW39" s="223">
        <v>0</v>
      </c>
      <c r="AX39" s="292">
        <v>17</v>
      </c>
      <c r="AY39" s="223">
        <v>1440</v>
      </c>
      <c r="AZ39" s="223">
        <v>0</v>
      </c>
      <c r="BA39" s="293"/>
      <c r="BB39" s="242">
        <v>956</v>
      </c>
      <c r="BC39" s="242">
        <v>1018</v>
      </c>
      <c r="BD39" s="242">
        <v>970</v>
      </c>
      <c r="BE39" s="242">
        <f>BC39-BB39</f>
        <v>62</v>
      </c>
      <c r="BF39" s="242">
        <f>AQ39</f>
        <v>8721.7102673232512</v>
      </c>
      <c r="BG39" s="294">
        <f>BD39/24</f>
        <v>40.416666666666664</v>
      </c>
      <c r="BH39" s="295">
        <v>0</v>
      </c>
      <c r="BI39" s="296">
        <v>0</v>
      </c>
      <c r="BJ39" s="297">
        <v>24</v>
      </c>
      <c r="BK39" s="298">
        <v>25.01</v>
      </c>
      <c r="BL39" s="298">
        <v>20.92</v>
      </c>
      <c r="BM39" s="298">
        <v>24.19</v>
      </c>
      <c r="BN39" s="299">
        <v>982.6</v>
      </c>
      <c r="BO39" s="298">
        <v>50.11</v>
      </c>
      <c r="BP39" s="300">
        <v>0.94340000000000002</v>
      </c>
      <c r="BQ39" s="298">
        <v>95.2</v>
      </c>
      <c r="BR39" s="297">
        <v>87.46</v>
      </c>
      <c r="BS39" s="242">
        <v>12276</v>
      </c>
      <c r="BT39" s="242">
        <v>11708</v>
      </c>
      <c r="BU39" s="301">
        <f>BT39-BS39</f>
        <v>-568</v>
      </c>
      <c r="BV39" s="242">
        <f>BH39+BI39</f>
        <v>0</v>
      </c>
      <c r="BW39" s="302">
        <v>0</v>
      </c>
      <c r="BX39" s="302">
        <v>0</v>
      </c>
      <c r="BZ39" s="302">
        <v>24</v>
      </c>
      <c r="CA39" s="302">
        <v>6.8</v>
      </c>
      <c r="CC39" s="302">
        <v>2.2000000000000002</v>
      </c>
      <c r="CD39" s="302">
        <v>4.7</v>
      </c>
      <c r="CE39" s="302">
        <v>2.1</v>
      </c>
      <c r="CF39" s="302">
        <v>0</v>
      </c>
    </row>
    <row r="40" spans="1:84">
      <c r="A40" s="525" t="s">
        <v>258</v>
      </c>
      <c r="B40" s="24">
        <v>43311</v>
      </c>
      <c r="C40" s="280">
        <v>94.5</v>
      </c>
      <c r="D40" s="281">
        <v>0.65500000000000003</v>
      </c>
      <c r="E40" s="282">
        <v>80.599999999999994</v>
      </c>
      <c r="F40" s="223">
        <v>104</v>
      </c>
      <c r="G40" s="223">
        <v>86</v>
      </c>
      <c r="H40" s="283">
        <v>24</v>
      </c>
      <c r="I40" s="283">
        <v>0</v>
      </c>
      <c r="J40" s="283">
        <v>24</v>
      </c>
      <c r="K40" s="283">
        <v>0</v>
      </c>
      <c r="L40" s="284">
        <v>0</v>
      </c>
      <c r="M40" s="284">
        <v>0</v>
      </c>
      <c r="N40" s="284">
        <v>0</v>
      </c>
      <c r="O40" s="284">
        <v>0</v>
      </c>
      <c r="P40" s="284">
        <v>0</v>
      </c>
      <c r="Q40" s="280">
        <v>0</v>
      </c>
      <c r="R40" s="285">
        <v>3449</v>
      </c>
      <c r="S40" s="286">
        <v>2917</v>
      </c>
      <c r="T40" s="286">
        <v>2917</v>
      </c>
      <c r="U40" s="286">
        <v>2843</v>
      </c>
      <c r="V40" s="287">
        <v>2945</v>
      </c>
      <c r="W40" s="283">
        <v>40</v>
      </c>
      <c r="X40" s="283">
        <v>0</v>
      </c>
      <c r="Y40" s="283">
        <v>42</v>
      </c>
      <c r="Z40" s="288">
        <v>0</v>
      </c>
      <c r="AA40" s="288">
        <v>57</v>
      </c>
      <c r="AB40" s="284">
        <v>0</v>
      </c>
      <c r="AC40" s="221">
        <v>102</v>
      </c>
      <c r="AD40" s="222">
        <f>U40-T40</f>
        <v>-74</v>
      </c>
      <c r="AE40" s="223">
        <v>124</v>
      </c>
      <c r="AF40" s="224">
        <f>IF(AE40&gt;0, V40/(AE40*24),"no data")</f>
        <v>0.98958333333333337</v>
      </c>
      <c r="AG40" s="225">
        <f>IF(R40&gt;0,R40/24,"no data")</f>
        <v>143.70833333333334</v>
      </c>
      <c r="AH40" s="224">
        <f>IF(U40&gt;0,(U40/R40),"no data")</f>
        <v>0.82429689765149317</v>
      </c>
      <c r="AI40" s="226">
        <f>IF(U40&gt;0,(1440-((W40*X40)+(Y40*Z40)+(AA40*AB40))/(W40+Y40+AA40))/1440,"no data")</f>
        <v>1</v>
      </c>
      <c r="AJ40" s="227">
        <f>IF(U40&gt;0,(1440-((X40*W40+AT40*AU40)+(Z40*Y40+AV40*AW40)+(AA40*AB40+AX40*AY40))/(W40+Y40+AA40))/1440,"no data")</f>
        <v>0.87769784172661869</v>
      </c>
      <c r="AK40" s="255">
        <v>6.1550000000000002</v>
      </c>
      <c r="AL40" s="256">
        <v>159.41</v>
      </c>
      <c r="AM40" s="282">
        <f>AK40*AL40</f>
        <v>981.16854999999998</v>
      </c>
      <c r="AN40" s="255">
        <v>24.02486</v>
      </c>
      <c r="AO40" s="323">
        <v>981.51456449694194</v>
      </c>
      <c r="AP40" s="290">
        <f>AN40*AO40</f>
        <v>23580.75</v>
      </c>
      <c r="AQ40" s="228">
        <f>IF(U40&gt;0,((((AK40*AL40)+(AN40*AO40))/(U40*1000))*1000000),"no data")</f>
        <v>8639.4367041857186</v>
      </c>
      <c r="AR40" s="229">
        <f>IF(S40&gt;0,S40/24, "no data")</f>
        <v>121.54166666666667</v>
      </c>
      <c r="AS40" s="291"/>
      <c r="AT40" s="223">
        <v>0</v>
      </c>
      <c r="AU40" s="292">
        <v>0</v>
      </c>
      <c r="AV40" s="292">
        <v>0</v>
      </c>
      <c r="AW40" s="223">
        <v>0</v>
      </c>
      <c r="AX40" s="292">
        <v>17</v>
      </c>
      <c r="AY40" s="223">
        <v>1440</v>
      </c>
      <c r="AZ40" s="223">
        <v>0</v>
      </c>
      <c r="BA40" s="293"/>
      <c r="BB40" s="242">
        <v>957</v>
      </c>
      <c r="BC40" s="242">
        <v>1017</v>
      </c>
      <c r="BD40" s="242">
        <v>971</v>
      </c>
      <c r="BE40" s="242">
        <f>BC40-BB40</f>
        <v>60</v>
      </c>
      <c r="BF40" s="242">
        <f>AQ40</f>
        <v>8639.4367041857186</v>
      </c>
      <c r="BG40" s="294">
        <f>BD40/24</f>
        <v>40.458333333333336</v>
      </c>
      <c r="BH40" s="295">
        <v>0</v>
      </c>
      <c r="BI40" s="296">
        <v>0</v>
      </c>
      <c r="BJ40" s="297">
        <v>24</v>
      </c>
      <c r="BK40" s="298">
        <v>24.88</v>
      </c>
      <c r="BL40" s="298">
        <v>20.82</v>
      </c>
      <c r="BM40" s="298">
        <v>24.3</v>
      </c>
      <c r="BN40" s="299">
        <v>981.9</v>
      </c>
      <c r="BO40" s="298">
        <v>50.11</v>
      </c>
      <c r="BP40" s="300">
        <v>0.94469999999999998</v>
      </c>
      <c r="BQ40" s="298">
        <v>95.1</v>
      </c>
      <c r="BR40" s="297">
        <v>87.4</v>
      </c>
      <c r="BS40" s="242">
        <v>12208</v>
      </c>
      <c r="BT40" s="242">
        <v>11651</v>
      </c>
      <c r="BU40" s="301">
        <f>BT40-BS40</f>
        <v>-557</v>
      </c>
      <c r="BV40" s="242">
        <f>BH40+BI40</f>
        <v>0</v>
      </c>
      <c r="BW40" s="302">
        <v>0</v>
      </c>
      <c r="BX40" s="302">
        <v>0</v>
      </c>
      <c r="BZ40" s="302">
        <v>24</v>
      </c>
      <c r="CA40" s="302">
        <v>6.6</v>
      </c>
      <c r="CC40" s="302">
        <v>2.1</v>
      </c>
      <c r="CD40" s="302">
        <v>4.5999999999999996</v>
      </c>
      <c r="CE40" s="302">
        <v>2.1</v>
      </c>
      <c r="CF40" s="302">
        <v>0</v>
      </c>
    </row>
    <row r="41" spans="1:84">
      <c r="A41" s="525"/>
      <c r="B41" s="24">
        <v>43312</v>
      </c>
      <c r="C41" s="280">
        <v>94.1</v>
      </c>
      <c r="D41" s="281">
        <v>0.63700000000000001</v>
      </c>
      <c r="E41" s="282">
        <v>79.8</v>
      </c>
      <c r="F41" s="223">
        <v>102</v>
      </c>
      <c r="G41" s="223">
        <v>87</v>
      </c>
      <c r="H41" s="283">
        <v>24</v>
      </c>
      <c r="I41" s="283">
        <v>0</v>
      </c>
      <c r="J41" s="283">
        <v>24</v>
      </c>
      <c r="K41" s="283">
        <v>0</v>
      </c>
      <c r="L41" s="284">
        <v>0</v>
      </c>
      <c r="M41" s="284">
        <v>0</v>
      </c>
      <c r="N41" s="284">
        <v>0</v>
      </c>
      <c r="O41" s="284">
        <v>0</v>
      </c>
      <c r="P41" s="284">
        <v>0</v>
      </c>
      <c r="Q41" s="280">
        <v>0</v>
      </c>
      <c r="R41" s="285">
        <v>3459</v>
      </c>
      <c r="S41" s="286">
        <v>2919</v>
      </c>
      <c r="T41" s="286">
        <v>2919</v>
      </c>
      <c r="U41" s="286">
        <v>2853</v>
      </c>
      <c r="V41" s="287">
        <v>2955</v>
      </c>
      <c r="W41" s="283">
        <v>40</v>
      </c>
      <c r="X41" s="283">
        <v>0</v>
      </c>
      <c r="Y41" s="283">
        <v>43</v>
      </c>
      <c r="Z41" s="288">
        <v>0</v>
      </c>
      <c r="AA41" s="288">
        <v>57</v>
      </c>
      <c r="AB41" s="284">
        <v>0</v>
      </c>
      <c r="AC41" s="221">
        <v>102</v>
      </c>
      <c r="AD41" s="222">
        <f>U41-T41</f>
        <v>-66</v>
      </c>
      <c r="AE41" s="223">
        <v>125</v>
      </c>
      <c r="AF41" s="224">
        <f>IF(AE41&gt;0, V41/(AE41*24),"no data")</f>
        <v>0.98499999999999999</v>
      </c>
      <c r="AG41" s="225">
        <f>IF(R41&gt;0,R41/24,"no data")</f>
        <v>144.125</v>
      </c>
      <c r="AH41" s="224">
        <f>IF(U41&gt;0,(U41/R41),"no data")</f>
        <v>0.82480485689505634</v>
      </c>
      <c r="AI41" s="226">
        <f>IF(U41&gt;0,(1440-((W41*X41)+(Y41*Z41)+(AA41*AB41))/(W41+Y41+AA41))/1440,"no data")</f>
        <v>1</v>
      </c>
      <c r="AJ41" s="227">
        <f>IF(U41&gt;0,(1440-((X41*W41+AT41*AU41)+(Z41*Y41+AV41*AW41)+(AA41*AB41+AX41*AY41))/(W41+Y41+AA41))/1440,"no data")</f>
        <v>0.88571428571428568</v>
      </c>
      <c r="AK41" s="255">
        <v>7.7809999999999997</v>
      </c>
      <c r="AL41" s="256">
        <v>159.35</v>
      </c>
      <c r="AM41" s="282">
        <f>AK41*AL41</f>
        <v>1239.9023499999998</v>
      </c>
      <c r="AN41" s="255">
        <v>23.85511</v>
      </c>
      <c r="AO41" s="323">
        <v>984.96800056675488</v>
      </c>
      <c r="AP41" s="290">
        <f>AN41*AO41</f>
        <v>23496.52</v>
      </c>
      <c r="AQ41" s="228">
        <f>IF(U41&gt;0,((((AK41*AL41)+(AN41*AO41))/(U41*1000))*1000000),"no data")</f>
        <v>8670.3197861899753</v>
      </c>
      <c r="AR41" s="229">
        <f>IF(S41&gt;0,S41/24, "no data")</f>
        <v>121.625</v>
      </c>
      <c r="AS41" s="291"/>
      <c r="AT41" s="223">
        <v>0</v>
      </c>
      <c r="AU41" s="292">
        <v>0</v>
      </c>
      <c r="AV41" s="292">
        <v>0</v>
      </c>
      <c r="AW41" s="223">
        <v>0</v>
      </c>
      <c r="AX41" s="292">
        <v>16</v>
      </c>
      <c r="AY41" s="223">
        <v>1440</v>
      </c>
      <c r="AZ41" s="223">
        <v>0</v>
      </c>
      <c r="BA41" s="293"/>
      <c r="BB41" s="242">
        <v>957</v>
      </c>
      <c r="BC41" s="242">
        <v>1025</v>
      </c>
      <c r="BD41" s="242">
        <v>973</v>
      </c>
      <c r="BE41" s="242">
        <f>BC41-BB41</f>
        <v>68</v>
      </c>
      <c r="BF41" s="242">
        <f>AQ41</f>
        <v>8670.3197861899753</v>
      </c>
      <c r="BG41" s="294">
        <f>BD41/24</f>
        <v>40.541666666666664</v>
      </c>
      <c r="BH41" s="295">
        <v>0</v>
      </c>
      <c r="BI41" s="296">
        <v>0</v>
      </c>
      <c r="BJ41" s="297">
        <v>24</v>
      </c>
      <c r="BK41" s="298">
        <v>24.76</v>
      </c>
      <c r="BL41" s="298">
        <v>20.54</v>
      </c>
      <c r="BM41" s="298">
        <v>26.17</v>
      </c>
      <c r="BN41" s="299">
        <v>980.6</v>
      </c>
      <c r="BO41" s="298">
        <v>50.12</v>
      </c>
      <c r="BP41" s="300">
        <v>0.94179999999999997</v>
      </c>
      <c r="BQ41" s="298">
        <v>94.96</v>
      </c>
      <c r="BR41" s="297">
        <v>87.36</v>
      </c>
      <c r="BS41" s="242">
        <v>12130</v>
      </c>
      <c r="BT41" s="242">
        <v>11596</v>
      </c>
      <c r="BU41" s="301">
        <f>BT41-BS41</f>
        <v>-534</v>
      </c>
      <c r="BV41" s="242">
        <f>BH41+BI41</f>
        <v>0</v>
      </c>
      <c r="BW41" s="302">
        <v>0</v>
      </c>
      <c r="BX41" s="302">
        <v>0</v>
      </c>
      <c r="BZ41" s="302">
        <v>24</v>
      </c>
      <c r="CA41" s="302">
        <v>6.1</v>
      </c>
      <c r="CC41" s="302">
        <v>2.1</v>
      </c>
      <c r="CD41" s="302">
        <v>4.7</v>
      </c>
      <c r="CE41" s="302">
        <v>2.1</v>
      </c>
      <c r="CF41" s="302">
        <v>0</v>
      </c>
    </row>
    <row r="42" spans="1:84">
      <c r="A42" s="525"/>
      <c r="B42" s="24">
        <v>43313</v>
      </c>
      <c r="C42" s="280"/>
      <c r="D42" s="281"/>
      <c r="E42" s="282"/>
      <c r="F42" s="223"/>
      <c r="G42" s="223"/>
      <c r="H42" s="283"/>
      <c r="I42" s="283"/>
      <c r="J42" s="283"/>
      <c r="K42" s="283"/>
      <c r="L42" s="284"/>
      <c r="M42" s="284"/>
      <c r="N42" s="284"/>
      <c r="O42" s="284"/>
      <c r="P42" s="284"/>
      <c r="Q42" s="280"/>
      <c r="R42" s="285"/>
      <c r="S42" s="286"/>
      <c r="T42" s="286"/>
      <c r="U42" s="286"/>
      <c r="V42" s="287"/>
      <c r="W42" s="283"/>
      <c r="X42" s="283"/>
      <c r="Y42" s="283"/>
      <c r="Z42" s="288"/>
      <c r="AA42" s="288"/>
      <c r="AB42" s="284"/>
      <c r="AC42" s="221"/>
      <c r="AD42" s="222"/>
      <c r="AE42" s="223"/>
      <c r="AF42" s="224"/>
      <c r="AG42" s="225"/>
      <c r="AH42" s="224"/>
      <c r="AI42" s="226"/>
      <c r="AJ42" s="227"/>
      <c r="AK42" s="255"/>
      <c r="AL42" s="256"/>
      <c r="AM42" s="282"/>
      <c r="AN42" s="255"/>
      <c r="AO42" s="323"/>
      <c r="AP42" s="290"/>
      <c r="AQ42" s="228"/>
      <c r="AR42" s="229"/>
      <c r="AS42" s="291"/>
      <c r="AT42" s="223"/>
      <c r="AU42" s="292"/>
      <c r="AV42" s="292"/>
      <c r="AW42" s="223"/>
      <c r="AX42" s="292"/>
      <c r="AY42" s="223"/>
      <c r="AZ42" s="223"/>
      <c r="BA42" s="293"/>
      <c r="BB42" s="242"/>
      <c r="BC42" s="242"/>
      <c r="BD42" s="242"/>
      <c r="BE42" s="242"/>
      <c r="BF42" s="242"/>
      <c r="BG42" s="294"/>
      <c r="BH42" s="295"/>
      <c r="BI42" s="296"/>
      <c r="BJ42" s="297"/>
      <c r="BK42" s="298"/>
      <c r="BL42" s="298"/>
      <c r="BM42" s="298"/>
      <c r="BN42" s="299"/>
      <c r="BO42" s="298"/>
      <c r="BP42" s="300"/>
      <c r="BQ42" s="298"/>
      <c r="BR42" s="297"/>
      <c r="BS42" s="242"/>
      <c r="BT42" s="242"/>
      <c r="BU42" s="301"/>
      <c r="BV42" s="242"/>
      <c r="BW42" s="302"/>
      <c r="BX42" s="302"/>
      <c r="BZ42" s="302"/>
      <c r="CA42" s="302"/>
      <c r="CC42" s="302"/>
      <c r="CD42" s="302"/>
      <c r="CE42" s="302"/>
      <c r="CF42" s="302"/>
    </row>
    <row r="43" spans="1:84">
      <c r="A43" s="525"/>
      <c r="B43" s="24">
        <v>43314</v>
      </c>
      <c r="C43" s="280"/>
      <c r="D43" s="281"/>
      <c r="E43" s="282"/>
      <c r="F43" s="223"/>
      <c r="G43" s="223"/>
      <c r="H43" s="283"/>
      <c r="I43" s="283"/>
      <c r="J43" s="283"/>
      <c r="K43" s="283"/>
      <c r="L43" s="284"/>
      <c r="M43" s="284"/>
      <c r="N43" s="284"/>
      <c r="O43" s="284"/>
      <c r="P43" s="284"/>
      <c r="Q43" s="280"/>
      <c r="R43" s="285"/>
      <c r="S43" s="286"/>
      <c r="T43" s="286"/>
      <c r="U43" s="286"/>
      <c r="V43" s="287"/>
      <c r="W43" s="283"/>
      <c r="X43" s="283"/>
      <c r="Y43" s="283"/>
      <c r="Z43" s="288"/>
      <c r="AA43" s="288"/>
      <c r="AB43" s="284"/>
      <c r="AC43" s="221"/>
      <c r="AD43" s="222"/>
      <c r="AE43" s="223"/>
      <c r="AF43" s="224"/>
      <c r="AG43" s="225"/>
      <c r="AH43" s="224"/>
      <c r="AI43" s="226"/>
      <c r="AJ43" s="227"/>
      <c r="AK43" s="255"/>
      <c r="AL43" s="256"/>
      <c r="AM43" s="282"/>
      <c r="AN43" s="255"/>
      <c r="AO43" s="323"/>
      <c r="AP43" s="290"/>
      <c r="AQ43" s="228"/>
      <c r="AR43" s="229"/>
      <c r="AS43" s="291"/>
      <c r="AT43" s="223"/>
      <c r="AU43" s="292"/>
      <c r="AV43" s="292"/>
      <c r="AW43" s="223"/>
      <c r="AX43" s="292"/>
      <c r="AY43" s="223"/>
      <c r="AZ43" s="223"/>
      <c r="BA43" s="293"/>
      <c r="BB43" s="242"/>
      <c r="BC43" s="242"/>
      <c r="BD43" s="242"/>
      <c r="BE43" s="242"/>
      <c r="BF43" s="242"/>
      <c r="BG43" s="294"/>
      <c r="BH43" s="295"/>
      <c r="BI43" s="296"/>
      <c r="BJ43" s="297"/>
      <c r="BK43" s="298"/>
      <c r="BL43" s="298"/>
      <c r="BM43" s="298"/>
      <c r="BN43" s="299"/>
      <c r="BO43" s="298"/>
      <c r="BP43" s="300"/>
      <c r="BQ43" s="298"/>
      <c r="BR43" s="297"/>
      <c r="BS43" s="242"/>
      <c r="BT43" s="242"/>
      <c r="BU43" s="301"/>
      <c r="BV43" s="242"/>
      <c r="BW43" s="302"/>
      <c r="BX43" s="302"/>
      <c r="BZ43" s="302"/>
      <c r="CA43" s="302"/>
      <c r="CC43" s="302"/>
      <c r="CD43" s="302"/>
      <c r="CE43" s="302"/>
      <c r="CF43" s="302"/>
    </row>
    <row r="44" spans="1:84">
      <c r="A44" s="525"/>
      <c r="B44" s="24">
        <v>43315</v>
      </c>
      <c r="C44" s="280"/>
      <c r="D44" s="281"/>
      <c r="E44" s="282"/>
      <c r="F44" s="223"/>
      <c r="G44" s="223"/>
      <c r="H44" s="283"/>
      <c r="I44" s="283"/>
      <c r="J44" s="283"/>
      <c r="K44" s="283"/>
      <c r="L44" s="284"/>
      <c r="M44" s="284"/>
      <c r="N44" s="284"/>
      <c r="O44" s="284"/>
      <c r="P44" s="284"/>
      <c r="Q44" s="280"/>
      <c r="R44" s="285"/>
      <c r="S44" s="286"/>
      <c r="T44" s="286"/>
      <c r="U44" s="286"/>
      <c r="V44" s="287"/>
      <c r="W44" s="283"/>
      <c r="X44" s="283"/>
      <c r="Y44" s="283"/>
      <c r="Z44" s="288"/>
      <c r="AA44" s="288"/>
      <c r="AB44" s="284"/>
      <c r="AC44" s="221"/>
      <c r="AD44" s="222"/>
      <c r="AE44" s="223"/>
      <c r="AF44" s="224"/>
      <c r="AG44" s="225"/>
      <c r="AH44" s="224"/>
      <c r="AI44" s="226"/>
      <c r="AJ44" s="227"/>
      <c r="AK44" s="255"/>
      <c r="AL44" s="256"/>
      <c r="AM44" s="282"/>
      <c r="AN44" s="255"/>
      <c r="AO44" s="323"/>
      <c r="AP44" s="290"/>
      <c r="AQ44" s="228"/>
      <c r="AR44" s="229"/>
      <c r="AS44" s="291"/>
      <c r="AT44" s="223"/>
      <c r="AU44" s="292"/>
      <c r="AV44" s="292"/>
      <c r="AW44" s="223"/>
      <c r="AX44" s="292"/>
      <c r="AY44" s="223"/>
      <c r="AZ44" s="223"/>
      <c r="BA44" s="293"/>
      <c r="BB44" s="242"/>
      <c r="BC44" s="242"/>
      <c r="BD44" s="242"/>
      <c r="BE44" s="242"/>
      <c r="BF44" s="242"/>
      <c r="BG44" s="294"/>
      <c r="BH44" s="295"/>
      <c r="BI44" s="296"/>
      <c r="BJ44" s="297"/>
      <c r="BK44" s="298"/>
      <c r="BL44" s="298"/>
      <c r="BM44" s="298"/>
      <c r="BN44" s="299"/>
      <c r="BO44" s="298"/>
      <c r="BP44" s="300"/>
      <c r="BQ44" s="298"/>
      <c r="BR44" s="297"/>
      <c r="BS44" s="242"/>
      <c r="BT44" s="242"/>
      <c r="BU44" s="301"/>
      <c r="BV44" s="242"/>
      <c r="BW44" s="302"/>
      <c r="BX44" s="302"/>
      <c r="BZ44" s="302"/>
      <c r="CA44" s="302"/>
      <c r="CC44" s="302"/>
      <c r="CD44" s="302"/>
      <c r="CE44" s="302"/>
      <c r="CF44" s="302"/>
    </row>
    <row r="45" spans="1:84">
      <c r="A45" s="525"/>
      <c r="B45" s="24">
        <v>43316</v>
      </c>
      <c r="C45" s="280"/>
      <c r="D45" s="281"/>
      <c r="E45" s="282"/>
      <c r="F45" s="223"/>
      <c r="G45" s="223"/>
      <c r="H45" s="283"/>
      <c r="I45" s="283"/>
      <c r="J45" s="283"/>
      <c r="K45" s="283"/>
      <c r="L45" s="284"/>
      <c r="M45" s="284"/>
      <c r="N45" s="284"/>
      <c r="O45" s="284"/>
      <c r="P45" s="284"/>
      <c r="Q45" s="280"/>
      <c r="R45" s="285"/>
      <c r="S45" s="286"/>
      <c r="T45" s="286"/>
      <c r="U45" s="286"/>
      <c r="V45" s="287"/>
      <c r="W45" s="283"/>
      <c r="X45" s="283"/>
      <c r="Y45" s="283"/>
      <c r="Z45" s="288"/>
      <c r="AA45" s="288"/>
      <c r="AB45" s="284"/>
      <c r="AC45" s="221"/>
      <c r="AD45" s="222"/>
      <c r="AE45" s="223"/>
      <c r="AF45" s="224"/>
      <c r="AG45" s="225"/>
      <c r="AH45" s="224"/>
      <c r="AI45" s="226"/>
      <c r="AJ45" s="227"/>
      <c r="AK45" s="255"/>
      <c r="AL45" s="256"/>
      <c r="AM45" s="282"/>
      <c r="AN45" s="255"/>
      <c r="AO45" s="323"/>
      <c r="AP45" s="290"/>
      <c r="AQ45" s="228"/>
      <c r="AR45" s="229"/>
      <c r="AS45" s="291"/>
      <c r="AT45" s="223"/>
      <c r="AU45" s="292"/>
      <c r="AV45" s="292"/>
      <c r="AW45" s="223"/>
      <c r="AX45" s="292"/>
      <c r="AY45" s="223"/>
      <c r="AZ45" s="223"/>
      <c r="BA45" s="293"/>
      <c r="BB45" s="242"/>
      <c r="BC45" s="242"/>
      <c r="BD45" s="242"/>
      <c r="BE45" s="242"/>
      <c r="BF45" s="242"/>
      <c r="BG45" s="294"/>
      <c r="BH45" s="295"/>
      <c r="BI45" s="296"/>
      <c r="BJ45" s="297"/>
      <c r="BK45" s="298"/>
      <c r="BL45" s="298"/>
      <c r="BM45" s="298"/>
      <c r="BN45" s="299"/>
      <c r="BO45" s="298"/>
      <c r="BP45" s="300"/>
      <c r="BQ45" s="298"/>
      <c r="BR45" s="297"/>
      <c r="BS45" s="242"/>
      <c r="BT45" s="242"/>
      <c r="BU45" s="301"/>
      <c r="BV45" s="242"/>
      <c r="BW45" s="302"/>
      <c r="BX45" s="302"/>
      <c r="BZ45" s="302"/>
      <c r="CA45" s="302"/>
      <c r="CC45" s="302"/>
      <c r="CD45" s="302"/>
      <c r="CE45" s="302"/>
      <c r="CF45" s="302"/>
    </row>
    <row r="46" spans="1:84">
      <c r="A46" s="525"/>
      <c r="B46" s="24">
        <v>43317</v>
      </c>
      <c r="C46" s="280"/>
      <c r="D46" s="281"/>
      <c r="E46" s="282"/>
      <c r="F46" s="223"/>
      <c r="G46" s="223"/>
      <c r="H46" s="283"/>
      <c r="I46" s="283"/>
      <c r="J46" s="283"/>
      <c r="K46" s="283"/>
      <c r="L46" s="284"/>
      <c r="M46" s="284"/>
      <c r="N46" s="284"/>
      <c r="O46" s="284"/>
      <c r="P46" s="284"/>
      <c r="Q46" s="280">
        <v>0</v>
      </c>
      <c r="R46" s="285"/>
      <c r="S46" s="286"/>
      <c r="T46" s="286"/>
      <c r="U46" s="286"/>
      <c r="V46" s="287"/>
      <c r="W46" s="283"/>
      <c r="X46" s="283"/>
      <c r="Y46" s="283"/>
      <c r="Z46" s="288"/>
      <c r="AA46" s="288"/>
      <c r="AB46" s="284"/>
      <c r="AC46" s="221"/>
      <c r="AD46" s="222"/>
      <c r="AE46" s="223"/>
      <c r="AF46" s="224"/>
      <c r="AG46" s="225" t="str">
        <f t="shared" si="3"/>
        <v>no data</v>
      </c>
      <c r="AH46" s="224" t="str">
        <f t="shared" si="4"/>
        <v>no data</v>
      </c>
      <c r="AI46" s="226" t="str">
        <f t="shared" si="18"/>
        <v>no data</v>
      </c>
      <c r="AJ46" s="227" t="str">
        <f t="shared" si="6"/>
        <v>no data</v>
      </c>
      <c r="AK46" s="255"/>
      <c r="AL46" s="256"/>
      <c r="AM46" s="282"/>
      <c r="AN46" s="255"/>
      <c r="AO46" s="289"/>
      <c r="AP46" s="290"/>
      <c r="AQ46" s="228" t="str">
        <f t="shared" si="9"/>
        <v>no data</v>
      </c>
      <c r="AR46" s="229" t="str">
        <f t="shared" si="19"/>
        <v>no data</v>
      </c>
      <c r="AS46" s="291"/>
      <c r="AT46" s="223"/>
      <c r="AU46" s="292"/>
      <c r="AV46" s="292"/>
      <c r="AW46" s="223"/>
      <c r="AX46" s="292"/>
      <c r="AY46" s="223"/>
      <c r="AZ46" s="223"/>
      <c r="BA46" s="293"/>
      <c r="BB46" s="242"/>
      <c r="BC46" s="242"/>
      <c r="BD46" s="242"/>
      <c r="BE46" s="242">
        <f t="shared" si="11"/>
        <v>0</v>
      </c>
      <c r="BF46" s="242" t="str">
        <f t="shared" si="12"/>
        <v>no data</v>
      </c>
      <c r="BG46" s="294"/>
      <c r="BH46" s="295"/>
      <c r="BI46" s="296"/>
      <c r="BJ46" s="297"/>
      <c r="BK46" s="298"/>
      <c r="BL46" s="298"/>
      <c r="BM46" s="298"/>
      <c r="BN46" s="299"/>
      <c r="BO46" s="298"/>
      <c r="BP46" s="300"/>
      <c r="BQ46" s="298"/>
      <c r="BR46" s="297"/>
      <c r="BS46" s="242"/>
      <c r="BT46" s="242"/>
      <c r="BU46" s="301">
        <f t="shared" si="14"/>
        <v>0</v>
      </c>
      <c r="BV46" s="242"/>
      <c r="BW46" s="302"/>
      <c r="BX46" s="302"/>
      <c r="BZ46" s="302"/>
      <c r="CA46" s="302"/>
      <c r="CC46" s="302"/>
      <c r="CD46" s="302"/>
      <c r="CE46" s="302"/>
      <c r="CF46" s="302"/>
    </row>
    <row r="47" spans="1:84">
      <c r="A47" s="79"/>
      <c r="B47" s="80" t="s">
        <v>83</v>
      </c>
      <c r="C47" s="81">
        <f>AVERAGE(C11:C41)</f>
        <v>93.791290322580636</v>
      </c>
      <c r="D47" s="82">
        <f>AVERAGE(D11:D41)</f>
        <v>0.63312580645161287</v>
      </c>
      <c r="E47" s="82">
        <f>AVERAGE(E11:E41)</f>
        <v>79.369032258064522</v>
      </c>
      <c r="F47" s="81">
        <f>AVERAGE(F11:F41)</f>
        <v>102.06451612903226</v>
      </c>
      <c r="G47" s="81">
        <f>AVERAGE(G11:G41)</f>
        <v>86.129032258064512</v>
      </c>
      <c r="H47" s="81">
        <f>SUM(H11:H41)+(INT(SUM(I11:I41)/60))</f>
        <v>716</v>
      </c>
      <c r="I47" s="81">
        <f>SUM(I11:I41)-(INT(SUM(I11:I41)/60)*60)</f>
        <v>8</v>
      </c>
      <c r="J47" s="81">
        <f>SUM(J11:J41)+(INT(SUM(K11:K41)/60))</f>
        <v>738</v>
      </c>
      <c r="K47" s="81">
        <f t="shared" ref="K47:Q47" si="20">SUM(K11:K41)-(INT(SUM(K11:K41)/60)*60)</f>
        <v>36</v>
      </c>
      <c r="L47" s="81">
        <f t="shared" si="20"/>
        <v>19</v>
      </c>
      <c r="M47" s="81">
        <f t="shared" si="20"/>
        <v>31</v>
      </c>
      <c r="N47" s="81">
        <f t="shared" si="20"/>
        <v>0</v>
      </c>
      <c r="O47" s="81">
        <f t="shared" si="20"/>
        <v>0</v>
      </c>
      <c r="P47" s="81">
        <f t="shared" si="20"/>
        <v>0</v>
      </c>
      <c r="Q47" s="81">
        <f t="shared" si="20"/>
        <v>0</v>
      </c>
      <c r="R47" s="83">
        <f>SUM(R11:R41)</f>
        <v>107227</v>
      </c>
      <c r="S47" s="83">
        <f>SUM(S11:S41)</f>
        <v>91199</v>
      </c>
      <c r="T47" s="83">
        <f>SUM(T11:T41)</f>
        <v>89582</v>
      </c>
      <c r="U47" s="196">
        <v>87564.37</v>
      </c>
      <c r="V47" s="83">
        <f>SUM(V11:V41)</f>
        <v>90458</v>
      </c>
      <c r="W47" s="85">
        <f>AVERAGE(W9:W38)</f>
        <v>40.43333333333333</v>
      </c>
      <c r="X47" s="85">
        <f>SUM(X9:X38)</f>
        <v>218</v>
      </c>
      <c r="Y47" s="85">
        <f>AVERAGE(Y9:Y38)</f>
        <v>42.966666666666669</v>
      </c>
      <c r="Z47" s="85">
        <f>SUM(Z9:Z38)</f>
        <v>0</v>
      </c>
      <c r="AA47" s="85">
        <f>AVERAGE(AA9:AA38)</f>
        <v>57</v>
      </c>
      <c r="AB47" s="85">
        <f>SUM(AB9:AB38)</f>
        <v>0</v>
      </c>
      <c r="AC47" s="86">
        <f>V47-U47+AZ47</f>
        <v>2893.6300000000047</v>
      </c>
      <c r="AD47" s="87">
        <f>(SUM($AD$9:$AD$38))</f>
        <v>-2069</v>
      </c>
      <c r="AE47" s="87">
        <f t="shared" ref="AE47:AJ47" si="21">AVERAGE(AE9:AE38)</f>
        <v>126.33333333333333</v>
      </c>
      <c r="AF47" s="88">
        <f t="shared" si="21"/>
        <v>0.96460427472261556</v>
      </c>
      <c r="AG47" s="83">
        <f t="shared" si="21"/>
        <v>144.38472222222219</v>
      </c>
      <c r="AH47" s="88">
        <f t="shared" si="21"/>
        <v>0.81524522354957607</v>
      </c>
      <c r="AI47" s="88">
        <f t="shared" si="21"/>
        <v>0.99854297078768905</v>
      </c>
      <c r="AJ47" s="88">
        <f t="shared" si="21"/>
        <v>0.87702812120293328</v>
      </c>
      <c r="AK47" s="89">
        <f>SUM(AK11:AK46)</f>
        <v>256.14699999999993</v>
      </c>
      <c r="AL47" s="89">
        <f>AVERAGE(AL11:AL46)</f>
        <v>154.64161290322579</v>
      </c>
      <c r="AM47" s="89">
        <f>SUM(AM11:AM46)</f>
        <v>39571.82993</v>
      </c>
      <c r="AN47" s="89">
        <f>SUM(AN11:AN46)</f>
        <v>734.63238100000001</v>
      </c>
      <c r="AO47" s="87">
        <f>AVERAGE(AO11:AO46)</f>
        <v>985.66609029418839</v>
      </c>
      <c r="AP47" s="90">
        <f>SUM(AP11:AP46)</f>
        <v>723990.12066958938</v>
      </c>
      <c r="AQ47" s="354">
        <f>((AM47+AP47))/(U47*1000)*1000000</f>
        <v>8720.0073568688895</v>
      </c>
      <c r="AR47" s="355">
        <f>AVERAGE(AR11:AR46)</f>
        <v>122.5793010752688</v>
      </c>
      <c r="AS47" s="13"/>
      <c r="AT47" s="93">
        <f t="shared" ref="AT47:AZ47" si="22">SUM(AT9:AT38)</f>
        <v>73</v>
      </c>
      <c r="AU47" s="93">
        <f t="shared" si="22"/>
        <v>453</v>
      </c>
      <c r="AV47" s="93">
        <f t="shared" si="22"/>
        <v>11</v>
      </c>
      <c r="AW47" s="93">
        <f t="shared" si="22"/>
        <v>324</v>
      </c>
      <c r="AX47" s="93">
        <f t="shared" si="22"/>
        <v>512</v>
      </c>
      <c r="AY47" s="93">
        <f t="shared" si="22"/>
        <v>42486</v>
      </c>
      <c r="AZ47" s="93">
        <f t="shared" si="22"/>
        <v>0</v>
      </c>
      <c r="BA47" s="4"/>
      <c r="BB47" s="94">
        <f>SUM(BB9:BB38)</f>
        <v>28013</v>
      </c>
      <c r="BC47" s="94">
        <f>SUM(BC9:BC38)</f>
        <v>30795</v>
      </c>
      <c r="BD47" s="94">
        <f>SUM(BD9:BD38)</f>
        <v>28890</v>
      </c>
      <c r="BE47" s="6">
        <f>(BC47-BB47)</f>
        <v>2782</v>
      </c>
      <c r="BF47" s="95">
        <f t="shared" si="12"/>
        <v>8720.0073568688895</v>
      </c>
      <c r="BG47" s="95">
        <f>AVERAGE(BG9:BG38)</f>
        <v>40.125</v>
      </c>
      <c r="BH47" s="95">
        <f>SUM(BH9:BH38)</f>
        <v>1.3220000000000001</v>
      </c>
      <c r="BI47" s="95">
        <f>SUM(BI9:BI38)</f>
        <v>1.4700000000000002</v>
      </c>
      <c r="BJ47" s="95">
        <f>AVERAGE(BJ9:BJ38)</f>
        <v>25.096999999999998</v>
      </c>
      <c r="BK47" s="95">
        <f>AVERAGE(BK9:BK38)</f>
        <v>24.204766666666664</v>
      </c>
      <c r="BL47" s="95">
        <f t="shared" ref="BL47:BT47" si="23">AVERAGE(BL9:BL38)</f>
        <v>20.909666666666666</v>
      </c>
      <c r="BM47" s="95">
        <f t="shared" si="23"/>
        <v>24.919833333333333</v>
      </c>
      <c r="BN47" s="95">
        <f t="shared" si="23"/>
        <v>980.56633333333309</v>
      </c>
      <c r="BO47" s="95">
        <f t="shared" si="23"/>
        <v>50.110999999999997</v>
      </c>
      <c r="BP47" s="95">
        <f t="shared" si="23"/>
        <v>0.94115357142857137</v>
      </c>
      <c r="BQ47" s="95">
        <f t="shared" si="23"/>
        <v>95.767666666666656</v>
      </c>
      <c r="BR47" s="95">
        <f t="shared" si="23"/>
        <v>87.532999999999987</v>
      </c>
      <c r="BS47" s="95">
        <f t="shared" si="23"/>
        <v>12158.7</v>
      </c>
      <c r="BT47" s="95">
        <f t="shared" si="23"/>
        <v>11603.333333333334</v>
      </c>
      <c r="BU47" s="6"/>
      <c r="BV47" s="97">
        <f>(SUM(BV11:BV41))</f>
        <v>0</v>
      </c>
      <c r="BW47" s="97">
        <f>(SUM(BW11:BW41))</f>
        <v>0</v>
      </c>
      <c r="BX47" s="97">
        <f>(SUM(BX11:BX41))</f>
        <v>0</v>
      </c>
      <c r="BY47" s="97"/>
      <c r="BZ47" s="97">
        <f>(SUM(BZ11:BZ41))</f>
        <v>713.5</v>
      </c>
      <c r="CA47" s="97">
        <f>(SUM(CA11:CA41))</f>
        <v>204.51</v>
      </c>
      <c r="CC47" s="97"/>
      <c r="CD47" s="97"/>
      <c r="CE47" s="97"/>
      <c r="CF47" s="97"/>
    </row>
    <row r="48" spans="1:84" ht="15.75" thickBot="1">
      <c r="A48" s="98"/>
      <c r="B48" s="99" t="s">
        <v>84</v>
      </c>
      <c r="C48" s="100" t="s">
        <v>85</v>
      </c>
      <c r="D48" s="101" t="s">
        <v>86</v>
      </c>
      <c r="E48" s="101"/>
      <c r="F48" s="102" t="s">
        <v>87</v>
      </c>
      <c r="G48" s="102" t="s">
        <v>88</v>
      </c>
      <c r="H48" s="102" t="s">
        <v>75</v>
      </c>
      <c r="I48" s="102" t="s">
        <v>76</v>
      </c>
      <c r="J48" s="102" t="s">
        <v>75</v>
      </c>
      <c r="K48" s="102" t="s">
        <v>76</v>
      </c>
      <c r="L48" s="102" t="s">
        <v>75</v>
      </c>
      <c r="M48" s="102" t="s">
        <v>76</v>
      </c>
      <c r="N48" s="102" t="s">
        <v>75</v>
      </c>
      <c r="O48" s="102" t="s">
        <v>76</v>
      </c>
      <c r="P48" s="102" t="s">
        <v>75</v>
      </c>
      <c r="Q48" s="102" t="s">
        <v>76</v>
      </c>
      <c r="R48" s="103" t="s">
        <v>91</v>
      </c>
      <c r="S48" s="103" t="s">
        <v>91</v>
      </c>
      <c r="T48" s="103" t="s">
        <v>91</v>
      </c>
      <c r="U48" s="103" t="s">
        <v>91</v>
      </c>
      <c r="V48" s="103" t="s">
        <v>91</v>
      </c>
      <c r="W48" s="103" t="s">
        <v>92</v>
      </c>
      <c r="X48" s="103" t="s">
        <v>93</v>
      </c>
      <c r="Y48" s="103" t="s">
        <v>94</v>
      </c>
      <c r="Z48" s="103" t="s">
        <v>93</v>
      </c>
      <c r="AA48" s="103" t="s">
        <v>94</v>
      </c>
      <c r="AB48" s="103" t="s">
        <v>93</v>
      </c>
      <c r="AC48" s="103" t="s">
        <v>95</v>
      </c>
      <c r="AD48" s="103" t="s">
        <v>96</v>
      </c>
      <c r="AE48" s="103" t="s">
        <v>97</v>
      </c>
      <c r="AF48" s="103" t="s">
        <v>98</v>
      </c>
      <c r="AG48" s="103" t="s">
        <v>99</v>
      </c>
      <c r="AH48" s="103" t="s">
        <v>99</v>
      </c>
      <c r="AI48" s="103"/>
      <c r="AJ48" s="103" t="s">
        <v>99</v>
      </c>
      <c r="AK48" s="103" t="s">
        <v>100</v>
      </c>
      <c r="AL48" s="103" t="s">
        <v>99</v>
      </c>
      <c r="AM48" s="103"/>
      <c r="AN48" s="103" t="s">
        <v>100</v>
      </c>
      <c r="AO48" s="103" t="s">
        <v>99</v>
      </c>
      <c r="AP48" s="104"/>
      <c r="AQ48" s="104" t="s">
        <v>99</v>
      </c>
      <c r="AR48" s="103"/>
      <c r="AS48" s="107"/>
      <c r="AZ48" s="108" t="s">
        <v>100</v>
      </c>
      <c r="BA48" s="4"/>
      <c r="BF48" s="109" t="str">
        <f t="shared" si="12"/>
        <v>Avg.</v>
      </c>
      <c r="BS48" s="5"/>
      <c r="BT48" s="5"/>
      <c r="BU48" s="6"/>
    </row>
    <row r="49" spans="1:73" ht="15.75" thickBot="1">
      <c r="B49" s="110"/>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c r="AB49" s="110"/>
      <c r="AC49" s="110"/>
      <c r="AD49" s="110"/>
      <c r="AE49" s="110"/>
      <c r="AF49" s="110"/>
      <c r="AG49" s="110"/>
      <c r="AH49" s="110"/>
      <c r="AI49" s="110"/>
      <c r="AJ49" s="110"/>
      <c r="AK49" s="110"/>
      <c r="AL49" s="110"/>
      <c r="AM49" s="111"/>
      <c r="AQ49" s="112"/>
      <c r="AR49" s="112"/>
      <c r="AS49" s="4"/>
      <c r="BA49" s="113"/>
      <c r="BB49" s="114"/>
      <c r="BC49" s="114"/>
      <c r="BD49" s="114"/>
      <c r="BE49" s="6"/>
      <c r="BS49" s="5"/>
      <c r="BT49" s="5"/>
      <c r="BU49" s="6"/>
    </row>
    <row r="50" spans="1:73" ht="60.75" thickBot="1">
      <c r="B50" s="115" t="s">
        <v>101</v>
      </c>
      <c r="C50" s="116" t="s">
        <v>102</v>
      </c>
      <c r="D50" s="116" t="s">
        <v>103</v>
      </c>
      <c r="E50" s="343"/>
      <c r="F50" s="428" t="s">
        <v>104</v>
      </c>
      <c r="G50" s="429"/>
      <c r="H50" s="428" t="s">
        <v>105</v>
      </c>
      <c r="I50" s="429"/>
      <c r="J50" s="428" t="s">
        <v>106</v>
      </c>
      <c r="K50" s="429"/>
      <c r="L50" s="428" t="s">
        <v>107</v>
      </c>
      <c r="M50" s="429"/>
      <c r="N50" s="428" t="s">
        <v>108</v>
      </c>
      <c r="O50" s="429"/>
      <c r="P50" s="428" t="s">
        <v>109</v>
      </c>
      <c r="Q50" s="429"/>
      <c r="R50" s="117" t="s">
        <v>110</v>
      </c>
      <c r="S50" s="118" t="s">
        <v>111</v>
      </c>
      <c r="T50" s="119" t="s">
        <v>112</v>
      </c>
      <c r="U50" s="116" t="s">
        <v>11</v>
      </c>
      <c r="V50" s="119" t="s">
        <v>12</v>
      </c>
      <c r="W50" s="116" t="s">
        <v>113</v>
      </c>
      <c r="X50" s="116" t="s">
        <v>14</v>
      </c>
      <c r="Y50" s="116" t="s">
        <v>114</v>
      </c>
      <c r="Z50" s="116" t="s">
        <v>16</v>
      </c>
      <c r="AA50" s="116" t="s">
        <v>18</v>
      </c>
      <c r="AB50" s="116" t="s">
        <v>17</v>
      </c>
      <c r="AC50" s="118" t="s">
        <v>19</v>
      </c>
      <c r="AD50" s="120" t="s">
        <v>20</v>
      </c>
      <c r="AE50" s="121" t="s">
        <v>21</v>
      </c>
      <c r="AF50" s="121" t="s">
        <v>22</v>
      </c>
      <c r="AG50" s="121" t="s">
        <v>115</v>
      </c>
      <c r="AH50" s="122" t="s">
        <v>116</v>
      </c>
      <c r="AI50" s="122" t="s">
        <v>25</v>
      </c>
      <c r="AJ50" s="123" t="s">
        <v>26</v>
      </c>
      <c r="AK50" s="119" t="s">
        <v>117</v>
      </c>
      <c r="AL50" s="124" t="s">
        <v>28</v>
      </c>
      <c r="AM50" s="124" t="s">
        <v>29</v>
      </c>
      <c r="AN50" s="119" t="s">
        <v>118</v>
      </c>
      <c r="AO50" s="124" t="s">
        <v>119</v>
      </c>
      <c r="AP50" s="124" t="s">
        <v>32</v>
      </c>
      <c r="AQ50" s="123" t="s">
        <v>120</v>
      </c>
      <c r="AR50" s="125"/>
      <c r="AS50" s="125"/>
      <c r="BA50" s="113"/>
      <c r="BB50" s="114"/>
      <c r="BC50" s="114"/>
      <c r="BD50" s="114"/>
      <c r="BE50" s="126">
        <f>AVERAGE(BE27:BE30)</f>
        <v>57.5</v>
      </c>
      <c r="BS50" s="5"/>
      <c r="BT50" s="5"/>
      <c r="BU50" s="6"/>
    </row>
    <row r="51" spans="1:73">
      <c r="B51" s="127" t="s">
        <v>221</v>
      </c>
      <c r="C51" s="128">
        <f>IF(C5=0,"no data",AVERAGE(C5:C11))</f>
        <v>90.11</v>
      </c>
      <c r="D51" s="128">
        <f>IF(D5=0,"no data",AVERAGE(D5:D11))*100</f>
        <v>64</v>
      </c>
      <c r="E51" s="128">
        <f>IF(E5=0,"no data",AVERAGE(E5:E11))</f>
        <v>76.587142857142865</v>
      </c>
      <c r="F51" s="128">
        <f>IF(F5=0,"no data",AVERAGE(F5:F11))</f>
        <v>97.857142857142861</v>
      </c>
      <c r="G51" s="128">
        <f>IF(G5=0,"no data",AVERAGE(G5:G11))</f>
        <v>82.571428571428569</v>
      </c>
      <c r="H51" s="128">
        <f>SUM(H5:H11)+INT(SUM(I5:I11)/60)</f>
        <v>164</v>
      </c>
      <c r="I51" s="128">
        <f>SUM(I5:I11)-INT(SUM(I5:I11)/60)*60</f>
        <v>4</v>
      </c>
      <c r="J51" s="128">
        <f>SUM(J5:J11)+INT(SUM(K5:K11)/60)</f>
        <v>168</v>
      </c>
      <c r="K51" s="128">
        <f>SUM(K5:K11)-INT(SUM(K5:K11)/60)*60</f>
        <v>0</v>
      </c>
      <c r="L51" s="128">
        <f>SUM(L5:L11)+INT(SUM(M5:M11)/60)</f>
        <v>0</v>
      </c>
      <c r="M51" s="128">
        <f>SUM(M5:M11)-INT(SUM(M5:M11)/60)*60</f>
        <v>0</v>
      </c>
      <c r="N51" s="128">
        <f>SUM(N5:N11)+INT(SUM(O5:O11)/60)</f>
        <v>0</v>
      </c>
      <c r="O51" s="128">
        <f>SUM(O5:O11)-INT(SUM(O5:O11)/60)*60</f>
        <v>0</v>
      </c>
      <c r="P51" s="128">
        <f>SUM(P5:P11)+INT(SUM(Q5:Q11)/60)</f>
        <v>65</v>
      </c>
      <c r="Q51" s="128">
        <f>SUM(Q5:Q11)-INT(SUM(Q5:Q11)/60)*60</f>
        <v>52</v>
      </c>
      <c r="R51" s="130">
        <f>IF(C5=0,"no data", AVERAGE(R5:R11))</f>
        <v>3493.4285714285716</v>
      </c>
      <c r="S51" s="130">
        <f>IF(D5=0,"no data", AVERAGE(S5:S11))</f>
        <v>3140.8571428571427</v>
      </c>
      <c r="T51" s="130">
        <f>IF(E5=0,"no data", AVERAGE(T5:T11))</f>
        <v>3073.7142857142858</v>
      </c>
      <c r="U51" s="139">
        <f>IF(U5=0,"no data", SUM(U5:U11))</f>
        <v>21128</v>
      </c>
      <c r="V51" s="139">
        <f>IF(V5=0,"no data", SUM(V5:V11))</f>
        <v>21851</v>
      </c>
      <c r="W51" s="131">
        <f>IF(W5=0,"no data", AVERAGE(W5:W11))</f>
        <v>41</v>
      </c>
      <c r="X51" s="140">
        <f>IF(AND(X5=0,X6=0,X7=0,X8=0,X9=0,X10=0,X11=0),"No outage",SUM(X5:X11))</f>
        <v>218</v>
      </c>
      <c r="Y51" s="131">
        <f>IF(Y5=0,"no data", AVERAGE(Y5:Y11))</f>
        <v>43.857142857142854</v>
      </c>
      <c r="Z51" s="140" t="str">
        <f>IF(AND(Z5=0,Z6=0,Z7=0,Z8=0,Z9=0,Z10=0,Z11=0),"No outage",SUM(Z5:Z11))</f>
        <v>No outage</v>
      </c>
      <c r="AA51" s="132" t="str">
        <f>IF(AND(AB5=0,AB6=0,AB7=0,AB8=0,AB9=0, AB10=0,AB11=0),"No outage",SUM(AB5:AB11))</f>
        <v>No outage</v>
      </c>
      <c r="AB51" s="132">
        <f>IF(AA5=0,"no data", AVERAGE(AA5:AA11))</f>
        <v>57</v>
      </c>
      <c r="AC51" s="128" t="str">
        <f>IF(Z5=0,"no data", SUM(AC5:AC11))</f>
        <v>no data</v>
      </c>
      <c r="AD51" s="128">
        <f>IF(AD5=0,"no data", SUM(AD5:AD11))</f>
        <v>-388</v>
      </c>
      <c r="AE51" s="131">
        <f t="shared" ref="AE51:AJ51" si="24">IF(AE5=0,"no data", AVERAGE(AE5:AE11))</f>
        <v>138.42857142857142</v>
      </c>
      <c r="AF51" s="133">
        <f t="shared" si="24"/>
        <v>0.93982813867940485</v>
      </c>
      <c r="AG51" s="132">
        <f t="shared" si="24"/>
        <v>145.5595238095238</v>
      </c>
      <c r="AH51" s="133">
        <f t="shared" si="24"/>
        <v>0.8643362227567416</v>
      </c>
      <c r="AI51" s="133">
        <f t="shared" si="24"/>
        <v>0.99375558909009609</v>
      </c>
      <c r="AJ51" s="133">
        <f t="shared" si="24"/>
        <v>0.91758509092379337</v>
      </c>
      <c r="AK51" s="132">
        <f>IF(AK5=0,"no data", SUM(AK5:AK11))</f>
        <v>62.528999999999996</v>
      </c>
      <c r="AL51" s="132">
        <f>IF(AL5=0,"no data", AVERAGE(AL5:AL11))</f>
        <v>150.08999999999997</v>
      </c>
      <c r="AM51" s="132">
        <f>AK51*AL51</f>
        <v>9384.9776099999981</v>
      </c>
      <c r="AN51" s="132">
        <f>IF(AN5=0,"no data", SUM(AN5:AN11))</f>
        <v>178.798</v>
      </c>
      <c r="AO51" s="132">
        <f>IF(AO5=0,"no data", AVERAGE(AO5:AO11))</f>
        <v>989.2487142857143</v>
      </c>
      <c r="AP51" s="132">
        <f>AN51*AO51</f>
        <v>176875.69161685713</v>
      </c>
      <c r="AQ51" s="134">
        <f>IF(AQ5=0,"no data", AVERAGE(AQ5:AQ11))</f>
        <v>8817.1580793680423</v>
      </c>
      <c r="AR51" s="135"/>
      <c r="AS51" s="136"/>
      <c r="BA51" s="113"/>
      <c r="BB51" s="114"/>
      <c r="BC51" s="114"/>
      <c r="BD51" s="114"/>
      <c r="BS51" s="5"/>
      <c r="BT51" s="5"/>
      <c r="BU51" s="6"/>
    </row>
    <row r="52" spans="1:73">
      <c r="B52" s="127" t="s">
        <v>244</v>
      </c>
      <c r="C52" s="137">
        <f>IF(C12=0,"no data", AVERAGE(C12:C18))</f>
        <v>91.86</v>
      </c>
      <c r="D52" s="138">
        <f>IF(D12=0,"no data", AVERAGE(D12:D18))</f>
        <v>0.63279999999999992</v>
      </c>
      <c r="E52" s="140">
        <f>IF(E12=0,"no data", AVERAGE(E12:E18))</f>
        <v>77.57285714285716</v>
      </c>
      <c r="F52" s="137">
        <f>IF(F12=0,"no data", AVERAGE(F12:F18))</f>
        <v>99.571428571428569</v>
      </c>
      <c r="G52" s="137">
        <f>IF(G12=0,"no data", AVERAGE(G12:G18))</f>
        <v>83</v>
      </c>
      <c r="H52" s="137">
        <f>SUM(H12:H18)+INT(SUM(I12:I18)/60)</f>
        <v>140</v>
      </c>
      <c r="I52" s="137">
        <f>SUM(I12:I18)-INT(SUM(J12:J18)/60)</f>
        <v>66</v>
      </c>
      <c r="J52" s="137">
        <f>SUM(J12:J18)+INT(SUM(K12:K18)/60)</f>
        <v>162</v>
      </c>
      <c r="K52" s="137">
        <f>SUM(K12:K18)-INT(SUM(L12:L18)/60)*60</f>
        <v>36</v>
      </c>
      <c r="L52" s="137">
        <f>SUM(L12:L18)+INT(SUM(M12:M18)/60)</f>
        <v>21</v>
      </c>
      <c r="M52" s="137">
        <f>SUM(M12:M18)-INT(SUM(N12:N18)/60)*60</f>
        <v>151</v>
      </c>
      <c r="N52" s="137">
        <f>SUM(N12:N18)+INT(SUM(O12:O18)/60)</f>
        <v>0</v>
      </c>
      <c r="O52" s="137">
        <v>0</v>
      </c>
      <c r="P52" s="137">
        <f>SUM(P12:P18)+INT(SUM(Q12:Q18)/60)</f>
        <v>0</v>
      </c>
      <c r="Q52" s="137">
        <f>SUM(Q8:Q12)-INT(SUM(Q12:Q18)/60)*60</f>
        <v>52</v>
      </c>
      <c r="R52" s="139">
        <f>IF(R12=0,"no data", AVERAGE(R12:R18))</f>
        <v>3478.5714285714284</v>
      </c>
      <c r="S52" s="139">
        <f>IF(S12=0,"no data", AVERAGE(S12:S18))</f>
        <v>2982.4285714285716</v>
      </c>
      <c r="T52" s="139">
        <f>IF(T12=0,"no data", AVERAGE(T12:T18))</f>
        <v>2751.4285714285716</v>
      </c>
      <c r="U52" s="139">
        <f>IF(U12=0,"no data", SUM(U12:U18))</f>
        <v>18771</v>
      </c>
      <c r="V52" s="139">
        <f>IF(V12=0,"no data", SUM(V12:V18))</f>
        <v>19433</v>
      </c>
      <c r="W52" s="139">
        <f>IF(W12=0,"no data", AVERAGE(W12:W18))</f>
        <v>40.857142857142854</v>
      </c>
      <c r="X52" s="140" t="str">
        <f>IF(AND(X12=0,X13=0,X14=0,X15=0,X16=0,X17=0,X18=0),"No outage",SUM(X12:X18))</f>
        <v>No outage</v>
      </c>
      <c r="Y52" s="139">
        <f>IF(Y12=0,"no data", AVERAGE(Y12:Y18))</f>
        <v>43.428571428571431</v>
      </c>
      <c r="Z52" s="140" t="str">
        <f>IF(AND(Z12=0,Z13=0,Z14=0,Z15=0,Z16=0,Z17=0,Z18=0),"No outage",SUM(Z12:Z18))</f>
        <v>No outage</v>
      </c>
      <c r="AA52" s="132" t="str">
        <f>IF(AND(AB12=0,AB13=0,AB14=0,AB15=0,AB16=0, AB17=0,AB18=0),"No outage",SUM(AB12:AB18))</f>
        <v>No outage</v>
      </c>
      <c r="AB52" s="132">
        <f>IF(AA6=12,"no data", AVERAGE(AA12:AA18))</f>
        <v>57</v>
      </c>
      <c r="AC52" s="139">
        <f>IF(AC12=0,"no data", SUM(AC12:AC18))</f>
        <v>662</v>
      </c>
      <c r="AD52" s="139">
        <f>IF(AD12=0,"no data", SUM(AD12:AD18))</f>
        <v>-489</v>
      </c>
      <c r="AE52" s="139">
        <f t="shared" ref="AE52:AJ52" si="25">IF(AE12=0,"no data", AVERAGE(AE12:AE18))</f>
        <v>126.85714285714286</v>
      </c>
      <c r="AF52" s="141">
        <f t="shared" si="25"/>
        <v>0.91219137153337904</v>
      </c>
      <c r="AG52" s="139">
        <f t="shared" si="25"/>
        <v>144.94047619047618</v>
      </c>
      <c r="AH52" s="141">
        <f t="shared" si="25"/>
        <v>0.77206606109625431</v>
      </c>
      <c r="AI52" s="141">
        <f t="shared" si="25"/>
        <v>1</v>
      </c>
      <c r="AJ52" s="141">
        <f t="shared" si="25"/>
        <v>0.857424935410669</v>
      </c>
      <c r="AK52" s="142">
        <f>IF(AK12=0,"no data",SUM(AK12:AK18))</f>
        <v>63.227000000000004</v>
      </c>
      <c r="AL52" s="143">
        <f>IF(AL12=0,"no data", AVERAGE(AL12:AL18))</f>
        <v>150.80571428571426</v>
      </c>
      <c r="AM52" s="140">
        <f>AK52*AL52</f>
        <v>9534.9928971428562</v>
      </c>
      <c r="AN52" s="140">
        <f>IF(AN12=0,"no data", SUM(AN12:AN18))</f>
        <v>157.023</v>
      </c>
      <c r="AO52" s="142">
        <f>IF(AO12=0,"no data",AVERAGE(AO12:AO18))</f>
        <v>991.66536748584906</v>
      </c>
      <c r="AP52" s="140">
        <f>AN52*AO52</f>
        <v>155714.27099873047</v>
      </c>
      <c r="AQ52" s="144">
        <f>IF(AQ12=0,"no data", AVERAGE(AQ12:AQ18))</f>
        <v>8808.5046790493961</v>
      </c>
      <c r="AR52" s="135"/>
      <c r="AS52" s="136"/>
      <c r="BA52" s="113"/>
      <c r="BC52" s="114"/>
      <c r="BS52" s="5"/>
      <c r="BT52" s="5"/>
      <c r="BU52" s="6"/>
    </row>
    <row r="53" spans="1:73">
      <c r="A53" s="145"/>
      <c r="B53" s="127" t="s">
        <v>245</v>
      </c>
      <c r="C53" s="140">
        <f>IF(C19=0,"no data", AVERAGE(C19:C25))</f>
        <v>96.689999999999984</v>
      </c>
      <c r="D53" s="138">
        <f>IF(D19=0,"no data", AVERAGE(D19:D25))</f>
        <v>0.57728571428571429</v>
      </c>
      <c r="E53" s="140">
        <f>IF(E19=0,"no data", AVERAGE(E19:E25))</f>
        <v>78.714285714285708</v>
      </c>
      <c r="F53" s="140">
        <f>IF(F19=0,"no data", AVERAGE(F19:F25))</f>
        <v>105.28571428571429</v>
      </c>
      <c r="G53" s="140">
        <f>IF(G19=0,"no data", AVERAGE(G19:G25))</f>
        <v>88.714285714285708</v>
      </c>
      <c r="H53" s="137">
        <f>SUM(H19:H25)+INT(SUM(I19:I25)/60)</f>
        <v>168</v>
      </c>
      <c r="I53" s="137">
        <f>SUM(I19:I25)-INT(SUM(I25:I25)/60)*60</f>
        <v>0</v>
      </c>
      <c r="J53" s="137">
        <f>SUM(J19:J25)+INT(SUM(K19:K25)/60)</f>
        <v>168</v>
      </c>
      <c r="K53" s="137">
        <f>SUM(K19:K25)-INT(SUM(K19:K25)/60)*60</f>
        <v>0</v>
      </c>
      <c r="L53" s="137">
        <f>SUM(L19:L25)+INT(SUM(M19:M25)/60)</f>
        <v>0</v>
      </c>
      <c r="M53" s="137">
        <f>SUM(M19:M25)-INT(SUM(M19:M25)/60)*60</f>
        <v>0</v>
      </c>
      <c r="N53" s="137">
        <f>SUM(N19:N25)+INT(SUM(O19:O25)/60)</f>
        <v>0</v>
      </c>
      <c r="O53" s="137">
        <f>SUM(O19:O25)-INT(SUM(O19:O25)/60)*60</f>
        <v>0</v>
      </c>
      <c r="P53" s="137">
        <f>SUM(P19:P25)+INT(SUM(Q19:Q25)/60)</f>
        <v>0</v>
      </c>
      <c r="Q53" s="137">
        <f>SUM(Q19:Q25)-INT(SUM(Q19:Q25)/60)*60</f>
        <v>0</v>
      </c>
      <c r="R53" s="139">
        <f>IF(R19=0,"no data", AVERAGE(R19:R25))</f>
        <v>3430.1428571428573</v>
      </c>
      <c r="S53" s="139">
        <f>IF(S19=0,"no data", AVERAGE(S19:S25))</f>
        <v>2934.7142857142858</v>
      </c>
      <c r="T53" s="139">
        <f>IF(T19=0,"no data", AVERAGE(T19:T25))</f>
        <v>2934.7142857142858</v>
      </c>
      <c r="U53" s="146">
        <f>IF(U19=0,"no data", SUM(U19:U25))</f>
        <v>20043</v>
      </c>
      <c r="V53" s="146">
        <f>IF(V19=0,"no data", SUM(V19:V25))</f>
        <v>20749</v>
      </c>
      <c r="W53" s="146">
        <f>IF(W19=0,"no data", AVERAGE(W19:W25))</f>
        <v>40.571428571428569</v>
      </c>
      <c r="X53" s="140" t="str">
        <f>IF(AND(X19=0,X20=0,X21=0,X22=0,X23=0,X24=0,X25=0),"No outage",SUM(X19:X25))</f>
        <v>No outage</v>
      </c>
      <c r="Y53" s="146">
        <f>IF(Y19=0,"no data", AVERAGE(Y19:Y25))</f>
        <v>42.714285714285715</v>
      </c>
      <c r="Z53" s="140" t="str">
        <f>IF(AND(Z19=0,Z20=0,Z21=0,Z22=0,Z23=0,Z24=0,Z25=0),"No outage",SUM(Z19:Z25))</f>
        <v>No outage</v>
      </c>
      <c r="AA53" s="132" t="str">
        <f>IF(AND(AB19=0,AB20=0,AB21=0,AB22=0,AB23=0, AB24=0,AB25=0),"No outage",SUM(AB19:AB25))</f>
        <v>No outage</v>
      </c>
      <c r="AB53" s="132">
        <f>IF(AA19=0,"no data", AVERAGE(AA19:AA25))</f>
        <v>57</v>
      </c>
      <c r="AC53" s="140">
        <f>IF(AC19=0,"no data", SUM(AC19:AC25))</f>
        <v>706</v>
      </c>
      <c r="AD53" s="146">
        <f>IF(AD19=0,"no data", SUM(AD19:AD25))</f>
        <v>-500</v>
      </c>
      <c r="AE53" s="140">
        <f t="shared" ref="AE53:AJ53" si="26">IF(AE19=0,"no data", AVERAGE(AE19:AE25))</f>
        <v>124.85714285714286</v>
      </c>
      <c r="AF53" s="141">
        <f t="shared" si="26"/>
        <v>0.98919334470391018</v>
      </c>
      <c r="AG53" s="140">
        <f t="shared" si="26"/>
        <v>142.92261904761904</v>
      </c>
      <c r="AH53" s="141">
        <f t="shared" si="26"/>
        <v>0.83475243509695951</v>
      </c>
      <c r="AI53" s="141">
        <f t="shared" si="26"/>
        <v>1</v>
      </c>
      <c r="AJ53" s="141">
        <f t="shared" si="26"/>
        <v>0.8828738659094435</v>
      </c>
      <c r="AK53" s="140">
        <f>IF(AK19=0,"no data", SUM(AK19:AK25))</f>
        <v>59.599000000000004</v>
      </c>
      <c r="AL53" s="140">
        <f>IF(AL19=0,"no data", AVERAGE(AL19:AL25))</f>
        <v>155.66285714285715</v>
      </c>
      <c r="AM53" s="140">
        <f>AK53*AL53</f>
        <v>9277.3506228571441</v>
      </c>
      <c r="AN53" s="140">
        <f>IF(AN19=0,"no data", SUM(AN19:AN24))</f>
        <v>144.214</v>
      </c>
      <c r="AO53" s="140">
        <f>IF(AO19=0,"no data", AVERAGE(AO19:AO24))</f>
        <v>986.58419088168023</v>
      </c>
      <c r="AP53" s="140">
        <f>AN53*AO53</f>
        <v>142279.25250381063</v>
      </c>
      <c r="AQ53" s="144">
        <f>IF(AQ19=0,"no data", AVERAGE(AQ19:AQ25))</f>
        <v>8734.8566372250734</v>
      </c>
      <c r="AR53" s="135"/>
      <c r="AS53" s="136"/>
      <c r="AT53" s="145"/>
      <c r="AU53" s="145"/>
      <c r="AV53" s="145"/>
      <c r="AW53" s="145"/>
      <c r="AY53" s="145"/>
      <c r="AZ53" s="145"/>
      <c r="BA53" s="113"/>
      <c r="BB53" s="145"/>
      <c r="BC53" s="114"/>
      <c r="BD53" s="145"/>
      <c r="BE53" s="145"/>
      <c r="BF53" s="145"/>
      <c r="BG53" s="145"/>
      <c r="BS53" s="5"/>
      <c r="BT53" s="5"/>
      <c r="BU53" s="6"/>
    </row>
    <row r="54" spans="1:73">
      <c r="B54" s="127" t="s">
        <v>246</v>
      </c>
      <c r="C54" s="140">
        <f>IF(C26=0,"no data", AVERAGE(C26:C32))</f>
        <v>92.62</v>
      </c>
      <c r="D54" s="140">
        <f>IF(D26=0,"no data", AVERAGE(D26:D32))</f>
        <v>0.66820000000000002</v>
      </c>
      <c r="E54" s="140">
        <f>IF(E26=0,"no data", AVERAGE(E26:E32))</f>
        <v>80.628571428571419</v>
      </c>
      <c r="F54" s="140">
        <f>IF(F26=0,"no data", AVERAGE(F26:F32))</f>
        <v>102.28571428571429</v>
      </c>
      <c r="G54" s="140">
        <f>IF(G26=0,"no data", AVERAGE(G26:G32))</f>
        <v>85.142857142857139</v>
      </c>
      <c r="H54" s="137">
        <f>SUM(H26:H32)+INT(SUM(I26:I32)/60)</f>
        <v>168</v>
      </c>
      <c r="I54" s="137">
        <f>SUM(I26:I32)-INT(SUM(I26:I32)/60)*60</f>
        <v>0</v>
      </c>
      <c r="J54" s="137">
        <f>SUM(J26:J32)+INT(SUM(K26:K32)/60)</f>
        <v>168</v>
      </c>
      <c r="K54" s="137">
        <f>SUM(K26:K32)-INT(SUM(K26:K32)/60)*60</f>
        <v>0</v>
      </c>
      <c r="L54" s="137">
        <f>SUM(L26:L32)+INT(SUM(M26:M32)/60)</f>
        <v>0</v>
      </c>
      <c r="M54" s="137">
        <f>SUM(M26:M32)-INT(SUM(M26:M32)/60)*60</f>
        <v>0</v>
      </c>
      <c r="N54" s="137">
        <f>SUM(N26:N32)+INT(SUM(O26:O32)/60)</f>
        <v>0</v>
      </c>
      <c r="O54" s="137">
        <f>SUM(O26:O32)-INT(SUM(O26:O32)/60)*60</f>
        <v>0</v>
      </c>
      <c r="P54" s="137">
        <f>SUM(P26:P32)+INT(SUM(Q26:Q32)/60)</f>
        <v>0</v>
      </c>
      <c r="Q54" s="137">
        <f>SUM(Q26:Q32)-INT(SUM(Q26:Q32)/60)*60</f>
        <v>0</v>
      </c>
      <c r="R54" s="139">
        <f>IF(R26=0,"no data", AVERAGE(R26:R32))</f>
        <v>3471.5714285714284</v>
      </c>
      <c r="S54" s="139">
        <f>IF(S26=0,"no data", AVERAGE(S26:S32))</f>
        <v>2931.5714285714284</v>
      </c>
      <c r="T54" s="139">
        <f>IF(T26=0,"no data", AVERAGE(T26:T32))</f>
        <v>2931.5714285714284</v>
      </c>
      <c r="U54" s="139">
        <f>IF(U26=0,"no data", SUM(U26:U32))</f>
        <v>20013</v>
      </c>
      <c r="V54" s="139">
        <f>IF(V26=0,"no data", SUM(V26:V32))</f>
        <v>20718</v>
      </c>
      <c r="W54" s="146">
        <f>IF(W26=0,"no data", AVERAGE(W26:W32))</f>
        <v>40</v>
      </c>
      <c r="X54" s="140" t="str">
        <f>IF(AND(X26=0,X27=0,X28=0,X29=0,X30=0,X31=0,X32=0),"No outage",SUM(X26:X32))</f>
        <v>No outage</v>
      </c>
      <c r="Y54" s="146">
        <f>IF(Y26=0,"no data", AVERAGE(Y26:Y32))</f>
        <v>42.857142857142854</v>
      </c>
      <c r="Z54" s="140" t="str">
        <f>IF(AND(Z26=0,Z27=0,Z28=0,Z29=0,Z30=0,Z31=0,Z32=0),"No outage",SUM(Z26:Z32))</f>
        <v>No outage</v>
      </c>
      <c r="AA54" s="140">
        <f>IF(AND(AA26=0,AA27=0,AA28=0,AA29=0,AA30=0,AA31=0,AA32=0),"No outage",SUM(AA26:AA32))</f>
        <v>399</v>
      </c>
      <c r="AB54" s="132">
        <f>IF(AA26=0,"no data", AVERAGE(AA26:AA32))</f>
        <v>57</v>
      </c>
      <c r="AC54" s="139">
        <f>IF(AC26=0,"no data", SUM(AC26:AC32))</f>
        <v>705</v>
      </c>
      <c r="AD54" s="139">
        <f>IF(AD26=0,"no data", SUM(AD26:AD32))</f>
        <v>-508</v>
      </c>
      <c r="AE54" s="146">
        <f t="shared" ref="AE54:AJ54" si="27">IF(AE26=0,"no data", AVERAGE(AE26:AE32))</f>
        <v>125.57142857142857</v>
      </c>
      <c r="AF54" s="138">
        <f t="shared" si="27"/>
        <v>0.98209032501889648</v>
      </c>
      <c r="AG54" s="140">
        <f t="shared" si="27"/>
        <v>144.64880952380949</v>
      </c>
      <c r="AH54" s="138">
        <f t="shared" si="27"/>
        <v>0.82355315181546129</v>
      </c>
      <c r="AI54" s="138">
        <f t="shared" si="27"/>
        <v>1</v>
      </c>
      <c r="AJ54" s="138">
        <f t="shared" si="27"/>
        <v>0.88150785494053729</v>
      </c>
      <c r="AK54" s="139">
        <f>IF(AK26=0,"no data", SUM(AK26:AK32))</f>
        <v>55.826999999999998</v>
      </c>
      <c r="AL54" s="140">
        <f>IF(AL26=0,"no data", AVERAGE(AL26:AL32))</f>
        <v>154.89714285714285</v>
      </c>
      <c r="AM54" s="140">
        <f>AK54*AL54</f>
        <v>8647.4427942857146</v>
      </c>
      <c r="AN54" s="140">
        <f>IF(AN26=0,"no data", SUM(AN26:AN32))</f>
        <v>168.32989100000003</v>
      </c>
      <c r="AO54" s="140">
        <f>IF(AO26=0,"no data", AVERAGE(AO26:AO32))</f>
        <v>985.49428448400249</v>
      </c>
      <c r="AP54" s="140">
        <f>AN54*AO54</f>
        <v>165888.14548831517</v>
      </c>
      <c r="AQ54" s="144">
        <f>IF(AQ26=0,"no data", AVERAGE(AQ26:AQ32))</f>
        <v>8721.1088239828314</v>
      </c>
      <c r="AR54" s="135"/>
      <c r="AS54" s="136"/>
      <c r="BA54" s="113"/>
      <c r="BC54" s="114"/>
      <c r="BS54" s="5"/>
      <c r="BT54" s="5"/>
      <c r="BU54" s="6"/>
    </row>
    <row r="55" spans="1:73">
      <c r="B55" s="127" t="s">
        <v>247</v>
      </c>
      <c r="C55" s="140" t="e">
        <f>IF(#REF!=0,"no data", AVERAGE(#REF!))</f>
        <v>#REF!</v>
      </c>
      <c r="D55" s="140" t="e">
        <f>IF(#REF!=0,"no data", AVERAGE(#REF!))</f>
        <v>#REF!</v>
      </c>
      <c r="E55" s="140" t="e">
        <f>IF(#REF!=0,"no data", AVERAGE(#REF!))</f>
        <v>#REF!</v>
      </c>
      <c r="F55" s="140" t="e">
        <f>IF(#REF!=0,"no data", AVERAGE(#REF!))</f>
        <v>#REF!</v>
      </c>
      <c r="G55" s="140" t="e">
        <f>IF(#REF!=0,"no data", AVERAGE(#REF!))</f>
        <v>#REF!</v>
      </c>
      <c r="H55" s="137" t="e">
        <f>SUM(#REF!)+INT(SUM(#REF!)/60)</f>
        <v>#REF!</v>
      </c>
      <c r="I55" s="137" t="e">
        <f>SUM(#REF!)-INT(SUM(#REF!)/60)*60</f>
        <v>#REF!</v>
      </c>
      <c r="J55" s="137" t="e">
        <f>SUM(#REF!)+INT(SUM(#REF!)/60)</f>
        <v>#REF!</v>
      </c>
      <c r="K55" s="137" t="e">
        <f>SUM(#REF!)-INT(SUM(#REF!)/60)*60</f>
        <v>#REF!</v>
      </c>
      <c r="L55" s="137" t="e">
        <f>SUM(#REF!)+INT(SUM(#REF!)/60)</f>
        <v>#REF!</v>
      </c>
      <c r="M55" s="137" t="e">
        <f>SUM(#REF!)-INT(SUM(#REF!)/60)*60</f>
        <v>#REF!</v>
      </c>
      <c r="N55" s="137" t="e">
        <f>SUM(#REF!)+INT(SUM(#REF!)/60)</f>
        <v>#REF!</v>
      </c>
      <c r="O55" s="137" t="e">
        <f>SUM(#REF!)-INT(SUM(#REF!)/60)*60</f>
        <v>#REF!</v>
      </c>
      <c r="P55" s="137" t="e">
        <f>SUM(#REF!)+INT(SUM(#REF!)/60)</f>
        <v>#REF!</v>
      </c>
      <c r="Q55" s="137" t="e">
        <f>SUM(#REF!)-INT(SUM(#REF!)/60)*60</f>
        <v>#REF!</v>
      </c>
      <c r="R55" s="139" t="e">
        <f>IF(#REF!=0,"no data", AVERAGE(#REF!))</f>
        <v>#REF!</v>
      </c>
      <c r="S55" s="139" t="e">
        <f>IF(#REF!=0,"no data", AVERAGE(#REF!))</f>
        <v>#REF!</v>
      </c>
      <c r="T55" s="139" t="e">
        <f>IF(#REF!=0,"no data", AVERAGE(#REF!))</f>
        <v>#REF!</v>
      </c>
      <c r="U55" s="139" t="e">
        <f>IF(#REF!=0,"no data", SUM(#REF!))</f>
        <v>#REF!</v>
      </c>
      <c r="V55" s="139" t="e">
        <f>IF(#REF!=0,"no data", SUM(#REF!))</f>
        <v>#REF!</v>
      </c>
      <c r="W55" s="146" t="e">
        <f>IF(#REF!=0,"no data", AVERAGE(#REF!))</f>
        <v>#REF!</v>
      </c>
      <c r="X55" s="140" t="e">
        <f>IF(AND(#REF!=0,#REF!=0,#REF!=0,#REF!=0,#REF!=0,#REF!=0,#REF!=0),"No outage",SUM(#REF!))</f>
        <v>#REF!</v>
      </c>
      <c r="Y55" s="146" t="e">
        <f>IF(#REF!=0,"no data", AVERAGE(#REF!))</f>
        <v>#REF!</v>
      </c>
      <c r="Z55" s="140" t="e">
        <f>IF(AND(#REF!=0,#REF!=0,#REF!=0,#REF!=0,#REF!=0,#REF!=0,#REF!=0),"No outage",SUM(#REF!))</f>
        <v>#REF!</v>
      </c>
      <c r="AA55" s="140" t="e">
        <f>IF(AND(#REF!=0,#REF!=0,#REF!=0,#REF!=0,#REF!=0,#REF!=0,#REF!=0),"No outage",SUM(#REF!))</f>
        <v>#REF!</v>
      </c>
      <c r="AB55" s="132" t="e">
        <f>IF(#REF!=0,"no data", AVERAGE(#REF!))</f>
        <v>#REF!</v>
      </c>
      <c r="AC55" s="139" t="e">
        <f>IF(#REF!=0,"no data", SUM(#REF!))</f>
        <v>#REF!</v>
      </c>
      <c r="AD55" s="139" t="e">
        <f>IF(#REF!=0,"no data", SUM(#REF!))</f>
        <v>#REF!</v>
      </c>
      <c r="AE55" s="146" t="e">
        <f>IF(#REF!=0,"no data", AVERAGE(#REF!))</f>
        <v>#REF!</v>
      </c>
      <c r="AF55" s="138" t="e">
        <f>IF(#REF!=0,"no data", AVERAGE(#REF!))</f>
        <v>#REF!</v>
      </c>
      <c r="AG55" s="140" t="e">
        <f>IF(#REF!=0,"no data", AVERAGE(#REF!))</f>
        <v>#REF!</v>
      </c>
      <c r="AH55" s="138" t="e">
        <f>IF(#REF!=0,"no data", AVERAGE(#REF!))</f>
        <v>#REF!</v>
      </c>
      <c r="AI55" s="138" t="e">
        <f>IF(AI27=0,"no data", AVERAGE(#REF!))</f>
        <v>#REF!</v>
      </c>
      <c r="AJ55" s="138" t="e">
        <f>IF(#REF!=0,"no data", AVERAGE(#REF!))</f>
        <v>#REF!</v>
      </c>
      <c r="AK55" s="139" t="e">
        <f>IF(#REF!=0,"no data", SUM(#REF!))</f>
        <v>#REF!</v>
      </c>
      <c r="AL55" s="140" t="e">
        <f>IF(#REF!=0,"no data", AVERAGE(#REF!))</f>
        <v>#REF!</v>
      </c>
      <c r="AM55" s="140" t="e">
        <f>AK55*AL55</f>
        <v>#REF!</v>
      </c>
      <c r="AN55" s="140" t="e">
        <f>IF(#REF!=0,"no data", SUM(#REF!))</f>
        <v>#REF!</v>
      </c>
      <c r="AO55" s="140" t="e">
        <f>IF(#REF!=0,"no data", AVERAGE(#REF!))</f>
        <v>#REF!</v>
      </c>
      <c r="AP55" s="140" t="e">
        <f>AN55*AO55</f>
        <v>#REF!</v>
      </c>
      <c r="AQ55" s="140" t="e">
        <f>IF(#REF!=0,"no data", AVERAGE(#REF!))</f>
        <v>#REF!</v>
      </c>
      <c r="AR55" s="135"/>
      <c r="AS55" s="136"/>
      <c r="BA55" s="113"/>
      <c r="BC55" s="114"/>
      <c r="BS55" s="5"/>
      <c r="BT55" s="5"/>
      <c r="BU55" s="6"/>
    </row>
    <row r="56" spans="1:73">
      <c r="B56" s="147"/>
      <c r="C56" s="148"/>
      <c r="D56" s="148"/>
      <c r="E56" s="148"/>
      <c r="F56" s="148"/>
      <c r="G56" s="149"/>
      <c r="H56" s="149"/>
      <c r="I56" s="149"/>
      <c r="J56" s="149"/>
      <c r="K56" s="150"/>
      <c r="L56" s="150"/>
      <c r="M56" s="150"/>
      <c r="N56" s="150"/>
      <c r="O56" s="151"/>
      <c r="P56" s="151"/>
      <c r="Q56" s="148"/>
      <c r="R56" s="148"/>
      <c r="S56" s="148"/>
      <c r="T56" s="148"/>
      <c r="U56" s="148"/>
      <c r="V56" s="148"/>
      <c r="W56" s="148"/>
      <c r="X56" s="148"/>
      <c r="Y56" s="148"/>
      <c r="Z56" s="148"/>
      <c r="AA56" s="148"/>
      <c r="AB56" s="148"/>
      <c r="AC56" s="151"/>
      <c r="AD56" s="151"/>
      <c r="AE56" s="148"/>
      <c r="AF56" s="151"/>
      <c r="AG56" s="151"/>
      <c r="AH56" s="148"/>
      <c r="AI56" s="148"/>
      <c r="AJ56" s="148"/>
      <c r="AK56" s="148"/>
      <c r="AL56" s="148"/>
      <c r="AM56" s="148"/>
      <c r="AQ56" s="126"/>
      <c r="AR56" s="126"/>
      <c r="AS56" s="126"/>
      <c r="AT56" s="126"/>
      <c r="BA56" s="113"/>
      <c r="BC56" s="114"/>
      <c r="BS56" s="5"/>
      <c r="BT56" s="5"/>
      <c r="BU56" s="6"/>
    </row>
    <row r="57" spans="1:73" ht="15.75" thickBot="1">
      <c r="B57" s="147"/>
      <c r="C57" s="148"/>
      <c r="D57" s="148"/>
      <c r="E57" s="148"/>
      <c r="F57" s="148"/>
      <c r="G57" s="149"/>
      <c r="H57" s="149"/>
      <c r="I57" s="149"/>
      <c r="J57" s="149"/>
      <c r="K57" s="150"/>
      <c r="L57" s="150"/>
      <c r="M57" s="150"/>
      <c r="N57" s="150"/>
      <c r="O57" s="151"/>
      <c r="P57" s="151"/>
      <c r="Q57" s="148"/>
      <c r="R57" s="148"/>
      <c r="S57" s="148"/>
      <c r="T57" s="148"/>
      <c r="U57" s="148"/>
      <c r="V57" s="148"/>
      <c r="W57" s="148"/>
      <c r="X57" s="148"/>
      <c r="Y57" s="148"/>
      <c r="Z57" s="148"/>
      <c r="AA57" s="148"/>
      <c r="AB57" s="148"/>
      <c r="AC57" s="151"/>
      <c r="AD57" s="151"/>
      <c r="AE57" s="148"/>
      <c r="AF57" s="151"/>
      <c r="AG57" s="151"/>
      <c r="AH57" s="148"/>
      <c r="AI57" s="148"/>
      <c r="AJ57" s="148"/>
      <c r="AK57" s="148"/>
      <c r="AL57" s="148"/>
      <c r="AM57" s="148"/>
      <c r="AQ57" s="126"/>
      <c r="AR57" s="126"/>
      <c r="AS57" s="126"/>
      <c r="AT57" s="126"/>
      <c r="BA57" s="113"/>
      <c r="BC57" s="114"/>
      <c r="BS57" s="5"/>
      <c r="BT57" s="5"/>
      <c r="BU57" s="6"/>
    </row>
    <row r="58" spans="1:73" ht="16.5" thickTop="1">
      <c r="B58" s="152" t="s">
        <v>121</v>
      </c>
      <c r="C58" s="430" t="s">
        <v>122</v>
      </c>
      <c r="D58" s="431"/>
      <c r="E58" s="431"/>
      <c r="F58" s="431"/>
      <c r="G58" s="431"/>
      <c r="H58" s="431"/>
      <c r="I58" s="431"/>
      <c r="J58" s="431"/>
      <c r="K58" s="431"/>
      <c r="L58" s="431"/>
      <c r="M58" s="431"/>
      <c r="N58" s="431"/>
      <c r="O58" s="431"/>
      <c r="P58" s="431"/>
      <c r="Q58" s="431"/>
      <c r="R58" s="431"/>
      <c r="S58" s="431"/>
      <c r="T58" s="431"/>
      <c r="U58" s="431"/>
      <c r="V58" s="431"/>
      <c r="W58" s="431"/>
      <c r="X58" s="431"/>
      <c r="Y58" s="431"/>
      <c r="Z58" s="431"/>
      <c r="AA58" s="431"/>
      <c r="AB58" s="431"/>
      <c r="AC58" s="431"/>
      <c r="AD58" s="431"/>
      <c r="AE58" s="432"/>
      <c r="AF58" s="151"/>
      <c r="AG58" s="151"/>
      <c r="AH58" s="148"/>
      <c r="AI58" s="148"/>
      <c r="AJ58" s="148"/>
      <c r="AK58" s="148"/>
      <c r="AL58" s="148"/>
      <c r="AM58" s="148"/>
      <c r="AQ58" s="126"/>
      <c r="AR58" s="126"/>
      <c r="AS58" s="126"/>
      <c r="AT58" s="126"/>
      <c r="BA58" s="113"/>
      <c r="BS58" s="5"/>
      <c r="BT58" s="5"/>
      <c r="BU58" s="6"/>
    </row>
    <row r="59" spans="1:73" ht="15.75">
      <c r="B59" s="153">
        <v>43282</v>
      </c>
      <c r="C59" s="526" t="s">
        <v>233</v>
      </c>
      <c r="D59" s="527"/>
      <c r="E59" s="527"/>
      <c r="F59" s="527"/>
      <c r="G59" s="527"/>
      <c r="H59" s="527"/>
      <c r="I59" s="527"/>
      <c r="J59" s="527"/>
      <c r="K59" s="527"/>
      <c r="L59" s="527"/>
      <c r="M59" s="527"/>
      <c r="N59" s="527"/>
      <c r="O59" s="527"/>
      <c r="P59" s="527"/>
      <c r="Q59" s="527"/>
      <c r="R59" s="527"/>
      <c r="S59" s="527"/>
      <c r="T59" s="527"/>
      <c r="U59" s="527"/>
      <c r="V59" s="527"/>
      <c r="W59" s="527"/>
      <c r="X59" s="527"/>
      <c r="Y59" s="527"/>
      <c r="Z59" s="527"/>
      <c r="AA59" s="527"/>
      <c r="AB59" s="527"/>
      <c r="AC59" s="527"/>
      <c r="AD59" s="527"/>
      <c r="AE59" s="528"/>
      <c r="AF59" s="151"/>
      <c r="AG59" s="151"/>
      <c r="AH59" s="148"/>
      <c r="AI59" s="148"/>
      <c r="AJ59" s="148"/>
      <c r="AK59" s="148"/>
      <c r="AL59" s="148"/>
      <c r="AM59" s="148"/>
      <c r="AQ59" s="126"/>
      <c r="AR59" s="126"/>
      <c r="AS59" s="126"/>
      <c r="AT59" s="126"/>
      <c r="BA59" s="113"/>
      <c r="BS59" s="5"/>
      <c r="BT59" s="5"/>
      <c r="BU59" s="6"/>
    </row>
    <row r="60" spans="1:73" ht="15.75">
      <c r="B60" s="153">
        <v>43283</v>
      </c>
      <c r="C60" s="526" t="s">
        <v>233</v>
      </c>
      <c r="D60" s="527"/>
      <c r="E60" s="527"/>
      <c r="F60" s="527"/>
      <c r="G60" s="527"/>
      <c r="H60" s="527"/>
      <c r="I60" s="527"/>
      <c r="J60" s="527"/>
      <c r="K60" s="527"/>
      <c r="L60" s="527"/>
      <c r="M60" s="527"/>
      <c r="N60" s="527"/>
      <c r="O60" s="527"/>
      <c r="P60" s="527"/>
      <c r="Q60" s="527"/>
      <c r="R60" s="527"/>
      <c r="S60" s="527"/>
      <c r="T60" s="527"/>
      <c r="U60" s="527"/>
      <c r="V60" s="527"/>
      <c r="W60" s="527"/>
      <c r="X60" s="527"/>
      <c r="Y60" s="527"/>
      <c r="Z60" s="527"/>
      <c r="AA60" s="527"/>
      <c r="AB60" s="527"/>
      <c r="AC60" s="527"/>
      <c r="AD60" s="527"/>
      <c r="AE60" s="528"/>
      <c r="AF60" s="151"/>
      <c r="AG60" s="151"/>
      <c r="AH60" s="148"/>
      <c r="AI60" s="148"/>
      <c r="AJ60" s="148"/>
      <c r="AK60" s="148"/>
      <c r="AL60" s="148"/>
      <c r="AM60" s="148"/>
      <c r="AQ60" s="126"/>
      <c r="AR60" s="126"/>
      <c r="AS60" s="126"/>
      <c r="AT60" s="126"/>
      <c r="BA60" s="113"/>
      <c r="BS60" s="5"/>
      <c r="BT60" s="5"/>
      <c r="BU60" s="6"/>
    </row>
    <row r="61" spans="1:73" ht="15.75">
      <c r="B61" s="153">
        <v>43284</v>
      </c>
      <c r="C61" s="416" t="s">
        <v>249</v>
      </c>
      <c r="D61" s="417"/>
      <c r="E61" s="417"/>
      <c r="F61" s="417"/>
      <c r="G61" s="417"/>
      <c r="H61" s="417"/>
      <c r="I61" s="417"/>
      <c r="J61" s="417"/>
      <c r="K61" s="417"/>
      <c r="L61" s="417"/>
      <c r="M61" s="417"/>
      <c r="N61" s="417"/>
      <c r="O61" s="417"/>
      <c r="P61" s="417"/>
      <c r="Q61" s="417"/>
      <c r="R61" s="417"/>
      <c r="S61" s="417"/>
      <c r="T61" s="417"/>
      <c r="U61" s="417"/>
      <c r="V61" s="417"/>
      <c r="W61" s="417"/>
      <c r="X61" s="417"/>
      <c r="Y61" s="417"/>
      <c r="Z61" s="417"/>
      <c r="AA61" s="417"/>
      <c r="AB61" s="417"/>
      <c r="AC61" s="417"/>
      <c r="AD61" s="417"/>
      <c r="AE61" s="418"/>
      <c r="AF61" s="151"/>
      <c r="AG61" s="151"/>
      <c r="AH61" s="148"/>
      <c r="AI61" s="148"/>
      <c r="AJ61" s="148"/>
      <c r="AK61" s="148"/>
      <c r="AL61" s="148"/>
      <c r="AM61" s="148"/>
      <c r="AQ61" s="126"/>
      <c r="AR61" s="126"/>
      <c r="AS61" s="126"/>
      <c r="AT61" s="126"/>
      <c r="BA61" s="113"/>
      <c r="BS61" s="5"/>
      <c r="BT61" s="5"/>
      <c r="BU61" s="6"/>
    </row>
    <row r="62" spans="1:73" ht="15.75">
      <c r="B62" s="153">
        <v>43285</v>
      </c>
      <c r="C62" s="416" t="s">
        <v>250</v>
      </c>
      <c r="D62" s="417"/>
      <c r="E62" s="417"/>
      <c r="F62" s="417"/>
      <c r="G62" s="417"/>
      <c r="H62" s="417"/>
      <c r="I62" s="417"/>
      <c r="J62" s="417"/>
      <c r="K62" s="417"/>
      <c r="L62" s="417"/>
      <c r="M62" s="417"/>
      <c r="N62" s="417"/>
      <c r="O62" s="417"/>
      <c r="P62" s="417"/>
      <c r="Q62" s="417"/>
      <c r="R62" s="417"/>
      <c r="S62" s="417"/>
      <c r="T62" s="417"/>
      <c r="U62" s="417"/>
      <c r="V62" s="417"/>
      <c r="W62" s="417"/>
      <c r="X62" s="417"/>
      <c r="Y62" s="417"/>
      <c r="Z62" s="417"/>
      <c r="AA62" s="417"/>
      <c r="AB62" s="417"/>
      <c r="AC62" s="417"/>
      <c r="AD62" s="417"/>
      <c r="AE62" s="418"/>
      <c r="AF62" s="151"/>
      <c r="AG62" s="151"/>
      <c r="AH62" s="148"/>
      <c r="AI62" s="148"/>
      <c r="AJ62" s="148"/>
      <c r="AK62" s="148"/>
      <c r="AL62" s="148"/>
      <c r="AM62" s="148"/>
      <c r="AQ62" s="126"/>
      <c r="AR62" s="126"/>
      <c r="AS62" s="126"/>
      <c r="AT62" s="126"/>
      <c r="BA62" s="113"/>
      <c r="BS62" s="5"/>
      <c r="BT62" s="5"/>
      <c r="BU62" s="6"/>
    </row>
    <row r="63" spans="1:73" ht="15.75">
      <c r="B63" s="153">
        <v>43286</v>
      </c>
      <c r="C63" s="416" t="s">
        <v>252</v>
      </c>
      <c r="D63" s="417"/>
      <c r="E63" s="417"/>
      <c r="F63" s="417"/>
      <c r="G63" s="417"/>
      <c r="H63" s="417"/>
      <c r="I63" s="417"/>
      <c r="J63" s="417"/>
      <c r="K63" s="417"/>
      <c r="L63" s="417"/>
      <c r="M63" s="417"/>
      <c r="N63" s="417"/>
      <c r="O63" s="417"/>
      <c r="P63" s="417"/>
      <c r="Q63" s="417"/>
      <c r="R63" s="417"/>
      <c r="S63" s="417"/>
      <c r="T63" s="417"/>
      <c r="U63" s="417"/>
      <c r="V63" s="417"/>
      <c r="W63" s="417"/>
      <c r="X63" s="417"/>
      <c r="Y63" s="417"/>
      <c r="Z63" s="417"/>
      <c r="AA63" s="417"/>
      <c r="AB63" s="417"/>
      <c r="AC63" s="417"/>
      <c r="AD63" s="417"/>
      <c r="AE63" s="418"/>
      <c r="AF63" s="151"/>
      <c r="AG63" s="151"/>
      <c r="AH63" s="148"/>
      <c r="AI63" s="148"/>
      <c r="AJ63" s="148"/>
      <c r="AK63" s="148"/>
      <c r="AL63" s="148"/>
      <c r="AM63" s="148"/>
      <c r="AQ63" s="126"/>
      <c r="AR63" s="126"/>
      <c r="AS63" s="126"/>
      <c r="AT63" s="126"/>
      <c r="BA63" s="113"/>
      <c r="BS63" s="5"/>
      <c r="BT63" s="5"/>
      <c r="BU63" s="6"/>
    </row>
    <row r="64" spans="1:73" ht="15.75">
      <c r="B64" s="153">
        <v>43287</v>
      </c>
      <c r="C64" s="526" t="s">
        <v>253</v>
      </c>
      <c r="D64" s="527"/>
      <c r="E64" s="527"/>
      <c r="F64" s="527"/>
      <c r="G64" s="527"/>
      <c r="H64" s="527"/>
      <c r="I64" s="527"/>
      <c r="J64" s="527"/>
      <c r="K64" s="527"/>
      <c r="L64" s="527"/>
      <c r="M64" s="527"/>
      <c r="N64" s="527"/>
      <c r="O64" s="527"/>
      <c r="P64" s="527"/>
      <c r="Q64" s="527"/>
      <c r="R64" s="527"/>
      <c r="S64" s="527"/>
      <c r="T64" s="527"/>
      <c r="U64" s="527"/>
      <c r="V64" s="527"/>
      <c r="W64" s="527"/>
      <c r="X64" s="527"/>
      <c r="Y64" s="527"/>
      <c r="Z64" s="527"/>
      <c r="AA64" s="527"/>
      <c r="AB64" s="527"/>
      <c r="AC64" s="527"/>
      <c r="AD64" s="527"/>
      <c r="AE64" s="528"/>
      <c r="AF64" s="151"/>
      <c r="AG64" s="151"/>
      <c r="AH64" s="148"/>
      <c r="AI64" s="148"/>
      <c r="AJ64" s="148"/>
      <c r="AK64" s="148"/>
      <c r="AL64" s="148"/>
      <c r="AM64" s="148"/>
      <c r="AQ64" s="126"/>
      <c r="AR64" s="126"/>
      <c r="AS64" s="126"/>
      <c r="AT64" s="126"/>
      <c r="BA64" s="113"/>
      <c r="BS64" s="5"/>
      <c r="BT64" s="5"/>
      <c r="BU64" s="6"/>
    </row>
    <row r="65" spans="2:73" ht="15.75">
      <c r="B65" s="153">
        <v>43288</v>
      </c>
      <c r="C65" s="526" t="s">
        <v>233</v>
      </c>
      <c r="D65" s="527"/>
      <c r="E65" s="527"/>
      <c r="F65" s="527"/>
      <c r="G65" s="527"/>
      <c r="H65" s="527"/>
      <c r="I65" s="527"/>
      <c r="J65" s="527"/>
      <c r="K65" s="527"/>
      <c r="L65" s="527"/>
      <c r="M65" s="527"/>
      <c r="N65" s="527"/>
      <c r="O65" s="527"/>
      <c r="P65" s="527"/>
      <c r="Q65" s="527"/>
      <c r="R65" s="527"/>
      <c r="S65" s="527"/>
      <c r="T65" s="527"/>
      <c r="U65" s="527"/>
      <c r="V65" s="527"/>
      <c r="W65" s="527"/>
      <c r="X65" s="527"/>
      <c r="Y65" s="527"/>
      <c r="Z65" s="527"/>
      <c r="AA65" s="527"/>
      <c r="AB65" s="527"/>
      <c r="AC65" s="527"/>
      <c r="AD65" s="527"/>
      <c r="AE65" s="528"/>
      <c r="AF65" s="151"/>
      <c r="AG65" s="151"/>
      <c r="AH65" s="148"/>
      <c r="AI65" s="148"/>
      <c r="AJ65" s="148"/>
      <c r="AK65" s="148"/>
      <c r="AL65" s="148"/>
      <c r="AM65" s="148"/>
      <c r="AQ65" s="126"/>
      <c r="AR65" s="126"/>
      <c r="AS65" s="126"/>
      <c r="AT65" s="126"/>
      <c r="BA65" s="113"/>
      <c r="BS65" s="5"/>
      <c r="BT65" s="5"/>
      <c r="BU65" s="6"/>
    </row>
    <row r="66" spans="2:73" ht="15.75">
      <c r="B66" s="153">
        <v>43289</v>
      </c>
      <c r="C66" s="526" t="s">
        <v>230</v>
      </c>
      <c r="D66" s="527"/>
      <c r="E66" s="527"/>
      <c r="F66" s="527"/>
      <c r="G66" s="527"/>
      <c r="H66" s="527"/>
      <c r="I66" s="527"/>
      <c r="J66" s="527"/>
      <c r="K66" s="527"/>
      <c r="L66" s="527"/>
      <c r="M66" s="527"/>
      <c r="N66" s="527"/>
      <c r="O66" s="527"/>
      <c r="P66" s="527"/>
      <c r="Q66" s="527"/>
      <c r="R66" s="527"/>
      <c r="S66" s="527"/>
      <c r="T66" s="527"/>
      <c r="U66" s="527"/>
      <c r="V66" s="527"/>
      <c r="W66" s="527"/>
      <c r="X66" s="527"/>
      <c r="Y66" s="527"/>
      <c r="Z66" s="527"/>
      <c r="AA66" s="527"/>
      <c r="AB66" s="527"/>
      <c r="AC66" s="527"/>
      <c r="AD66" s="527"/>
      <c r="AE66" s="528"/>
      <c r="AF66" s="151"/>
      <c r="AG66" s="151"/>
      <c r="AH66" s="148"/>
      <c r="AI66" s="148"/>
      <c r="AJ66" s="148"/>
      <c r="AK66" s="148"/>
      <c r="AL66" s="148"/>
      <c r="AM66" s="148"/>
      <c r="AQ66" s="126"/>
      <c r="AR66" s="126"/>
      <c r="AS66" s="126"/>
      <c r="AT66" s="126"/>
      <c r="BA66" s="113"/>
      <c r="BS66" s="5"/>
      <c r="BT66" s="5"/>
      <c r="BU66" s="6"/>
    </row>
    <row r="67" spans="2:73" ht="15.75">
      <c r="B67" s="153">
        <v>43290</v>
      </c>
      <c r="C67" s="526" t="s">
        <v>230</v>
      </c>
      <c r="D67" s="527"/>
      <c r="E67" s="527"/>
      <c r="F67" s="527"/>
      <c r="G67" s="527"/>
      <c r="H67" s="527"/>
      <c r="I67" s="527"/>
      <c r="J67" s="527"/>
      <c r="K67" s="527"/>
      <c r="L67" s="527"/>
      <c r="M67" s="527"/>
      <c r="N67" s="527"/>
      <c r="O67" s="527"/>
      <c r="P67" s="527"/>
      <c r="Q67" s="527"/>
      <c r="R67" s="527"/>
      <c r="S67" s="527"/>
      <c r="T67" s="527"/>
      <c r="U67" s="527"/>
      <c r="V67" s="527"/>
      <c r="W67" s="527"/>
      <c r="X67" s="527"/>
      <c r="Y67" s="527"/>
      <c r="Z67" s="527"/>
      <c r="AA67" s="527"/>
      <c r="AB67" s="527"/>
      <c r="AC67" s="527"/>
      <c r="AD67" s="527"/>
      <c r="AE67" s="528"/>
      <c r="AF67" s="151"/>
      <c r="AG67" s="151"/>
      <c r="AH67" s="148"/>
      <c r="AI67" s="148"/>
      <c r="AJ67" s="148"/>
      <c r="AK67" s="148"/>
      <c r="AL67" s="148"/>
      <c r="AM67" s="148"/>
      <c r="AQ67" s="126"/>
      <c r="AR67" s="126"/>
      <c r="AS67" s="126"/>
      <c r="AT67" s="126"/>
      <c r="BA67" s="113"/>
      <c r="BS67" s="5"/>
      <c r="BT67" s="5"/>
      <c r="BU67" s="6"/>
    </row>
    <row r="68" spans="2:73" ht="15.75">
      <c r="B68" s="153">
        <v>43291</v>
      </c>
      <c r="C68" s="526" t="s">
        <v>230</v>
      </c>
      <c r="D68" s="527"/>
      <c r="E68" s="527"/>
      <c r="F68" s="527"/>
      <c r="G68" s="527"/>
      <c r="H68" s="527"/>
      <c r="I68" s="527"/>
      <c r="J68" s="527"/>
      <c r="K68" s="527"/>
      <c r="L68" s="527"/>
      <c r="M68" s="527"/>
      <c r="N68" s="527"/>
      <c r="O68" s="527"/>
      <c r="P68" s="527"/>
      <c r="Q68" s="527"/>
      <c r="R68" s="527"/>
      <c r="S68" s="527"/>
      <c r="T68" s="527"/>
      <c r="U68" s="527"/>
      <c r="V68" s="527"/>
      <c r="W68" s="527"/>
      <c r="X68" s="527"/>
      <c r="Y68" s="527"/>
      <c r="Z68" s="527"/>
      <c r="AA68" s="527"/>
      <c r="AB68" s="527"/>
      <c r="AC68" s="527"/>
      <c r="AD68" s="527"/>
      <c r="AE68" s="528"/>
      <c r="AF68" s="151"/>
      <c r="AG68" s="151"/>
      <c r="AH68" s="148"/>
      <c r="AI68" s="148"/>
      <c r="AJ68" s="148"/>
      <c r="AK68" s="148"/>
      <c r="AL68" s="148"/>
      <c r="AM68" s="148"/>
      <c r="AQ68" s="126"/>
      <c r="AR68" s="126"/>
      <c r="AS68" s="126"/>
      <c r="AT68" s="126"/>
      <c r="BA68" s="113"/>
      <c r="BS68" s="5"/>
      <c r="BT68" s="5"/>
      <c r="BU68" s="6"/>
    </row>
    <row r="69" spans="2:73" ht="15.75">
      <c r="B69" s="153">
        <v>43292</v>
      </c>
      <c r="C69" s="526" t="s">
        <v>254</v>
      </c>
      <c r="D69" s="527"/>
      <c r="E69" s="527"/>
      <c r="F69" s="527"/>
      <c r="G69" s="527"/>
      <c r="H69" s="527"/>
      <c r="I69" s="527"/>
      <c r="J69" s="527"/>
      <c r="K69" s="527"/>
      <c r="L69" s="527"/>
      <c r="M69" s="527"/>
      <c r="N69" s="527"/>
      <c r="O69" s="527"/>
      <c r="P69" s="527"/>
      <c r="Q69" s="527"/>
      <c r="R69" s="527"/>
      <c r="S69" s="527"/>
      <c r="T69" s="527"/>
      <c r="U69" s="527"/>
      <c r="V69" s="527"/>
      <c r="W69" s="527"/>
      <c r="X69" s="527"/>
      <c r="Y69" s="527"/>
      <c r="Z69" s="527"/>
      <c r="AA69" s="527"/>
      <c r="AB69" s="527"/>
      <c r="AC69" s="527"/>
      <c r="AD69" s="527"/>
      <c r="AE69" s="528"/>
      <c r="AF69" s="151"/>
      <c r="AG69" s="151"/>
      <c r="AH69" s="148"/>
      <c r="AI69" s="148"/>
      <c r="AJ69" s="148"/>
      <c r="AK69" s="148"/>
      <c r="AL69" s="148"/>
      <c r="AM69" s="148"/>
      <c r="AQ69" s="126"/>
      <c r="AR69" s="126"/>
      <c r="AS69" s="126"/>
      <c r="AT69" s="126"/>
      <c r="BA69" s="113"/>
      <c r="BS69" s="5"/>
      <c r="BT69" s="5"/>
      <c r="BU69" s="6"/>
    </row>
    <row r="70" spans="2:73" ht="15.75">
      <c r="B70" s="153">
        <v>43293</v>
      </c>
      <c r="C70" s="526" t="s">
        <v>230</v>
      </c>
      <c r="D70" s="527"/>
      <c r="E70" s="527"/>
      <c r="F70" s="527"/>
      <c r="G70" s="527"/>
      <c r="H70" s="527"/>
      <c r="I70" s="527"/>
      <c r="J70" s="527"/>
      <c r="K70" s="527"/>
      <c r="L70" s="527"/>
      <c r="M70" s="527"/>
      <c r="N70" s="527"/>
      <c r="O70" s="527"/>
      <c r="P70" s="527"/>
      <c r="Q70" s="527"/>
      <c r="R70" s="527"/>
      <c r="S70" s="527"/>
      <c r="T70" s="527"/>
      <c r="U70" s="527"/>
      <c r="V70" s="527"/>
      <c r="W70" s="527"/>
      <c r="X70" s="527"/>
      <c r="Y70" s="527"/>
      <c r="Z70" s="527"/>
      <c r="AA70" s="527"/>
      <c r="AB70" s="527"/>
      <c r="AC70" s="527"/>
      <c r="AD70" s="527"/>
      <c r="AE70" s="528"/>
      <c r="AF70" s="151"/>
      <c r="AG70" s="151"/>
      <c r="AH70" s="148"/>
      <c r="AI70" s="148"/>
      <c r="AJ70" s="148"/>
      <c r="AK70" s="148"/>
      <c r="AL70" s="148"/>
      <c r="AM70" s="148"/>
      <c r="AQ70" s="126"/>
      <c r="AR70" s="126"/>
      <c r="AS70" s="126"/>
      <c r="AT70" s="126"/>
      <c r="BA70" s="113"/>
      <c r="BS70" s="5"/>
      <c r="BT70" s="5"/>
      <c r="BU70" s="6"/>
    </row>
    <row r="71" spans="2:73" ht="15.75">
      <c r="B71" s="153">
        <v>43294</v>
      </c>
      <c r="C71" s="526" t="s">
        <v>255</v>
      </c>
      <c r="D71" s="527"/>
      <c r="E71" s="527"/>
      <c r="F71" s="527"/>
      <c r="G71" s="527"/>
      <c r="H71" s="527"/>
      <c r="I71" s="527"/>
      <c r="J71" s="527"/>
      <c r="K71" s="527"/>
      <c r="L71" s="527"/>
      <c r="M71" s="527"/>
      <c r="N71" s="527"/>
      <c r="O71" s="527"/>
      <c r="P71" s="527"/>
      <c r="Q71" s="527"/>
      <c r="R71" s="527"/>
      <c r="S71" s="527"/>
      <c r="T71" s="527"/>
      <c r="U71" s="527"/>
      <c r="V71" s="527"/>
      <c r="W71" s="527"/>
      <c r="X71" s="527"/>
      <c r="Y71" s="527"/>
      <c r="Z71" s="527"/>
      <c r="AA71" s="527"/>
      <c r="AB71" s="527"/>
      <c r="AC71" s="527"/>
      <c r="AD71" s="527"/>
      <c r="AE71" s="528"/>
      <c r="AF71" s="151"/>
      <c r="AG71" s="151"/>
      <c r="AH71" s="148"/>
      <c r="AI71" s="148"/>
      <c r="AJ71" s="148"/>
      <c r="AK71" s="148"/>
      <c r="AL71" s="148"/>
      <c r="AM71" s="148"/>
      <c r="AQ71" s="126"/>
      <c r="AR71" s="126"/>
      <c r="AS71" s="126"/>
      <c r="AT71" s="126"/>
      <c r="BA71" s="113"/>
      <c r="BS71" s="5"/>
      <c r="BT71" s="5"/>
      <c r="BU71" s="6"/>
    </row>
    <row r="72" spans="2:73" ht="15.75">
      <c r="B72" s="153">
        <v>43295</v>
      </c>
      <c r="C72" s="526" t="s">
        <v>255</v>
      </c>
      <c r="D72" s="527"/>
      <c r="E72" s="527"/>
      <c r="F72" s="527"/>
      <c r="G72" s="527"/>
      <c r="H72" s="527"/>
      <c r="I72" s="527"/>
      <c r="J72" s="527"/>
      <c r="K72" s="527"/>
      <c r="L72" s="527"/>
      <c r="M72" s="527"/>
      <c r="N72" s="527"/>
      <c r="O72" s="527"/>
      <c r="P72" s="527"/>
      <c r="Q72" s="527"/>
      <c r="R72" s="527"/>
      <c r="S72" s="527"/>
      <c r="T72" s="527"/>
      <c r="U72" s="527"/>
      <c r="V72" s="527"/>
      <c r="W72" s="527"/>
      <c r="X72" s="527"/>
      <c r="Y72" s="527"/>
      <c r="Z72" s="527"/>
      <c r="AA72" s="527"/>
      <c r="AB72" s="527"/>
      <c r="AC72" s="527"/>
      <c r="AD72" s="527"/>
      <c r="AE72" s="528"/>
      <c r="AF72" s="151"/>
      <c r="AG72" s="151"/>
      <c r="AH72" s="148"/>
      <c r="AI72" s="148"/>
      <c r="AJ72" s="148"/>
      <c r="AK72" s="148"/>
      <c r="AL72" s="148"/>
      <c r="AM72" s="148"/>
      <c r="AQ72" s="126"/>
      <c r="AR72" s="126"/>
      <c r="AS72" s="126"/>
      <c r="AT72" s="126"/>
      <c r="BA72" s="113"/>
      <c r="BS72" s="5"/>
      <c r="BT72" s="5"/>
      <c r="BU72" s="6"/>
    </row>
    <row r="73" spans="2:73" ht="15.75">
      <c r="B73" s="153">
        <v>43296</v>
      </c>
      <c r="C73" s="526" t="s">
        <v>255</v>
      </c>
      <c r="D73" s="527"/>
      <c r="E73" s="527"/>
      <c r="F73" s="527"/>
      <c r="G73" s="527"/>
      <c r="H73" s="527"/>
      <c r="I73" s="527"/>
      <c r="J73" s="527"/>
      <c r="K73" s="527"/>
      <c r="L73" s="527"/>
      <c r="M73" s="527"/>
      <c r="N73" s="527"/>
      <c r="O73" s="527"/>
      <c r="P73" s="527"/>
      <c r="Q73" s="527"/>
      <c r="R73" s="527"/>
      <c r="S73" s="527"/>
      <c r="T73" s="527"/>
      <c r="U73" s="527"/>
      <c r="V73" s="527"/>
      <c r="W73" s="527"/>
      <c r="X73" s="527"/>
      <c r="Y73" s="527"/>
      <c r="Z73" s="527"/>
      <c r="AA73" s="527"/>
      <c r="AB73" s="527"/>
      <c r="AC73" s="527"/>
      <c r="AD73" s="527"/>
      <c r="AE73" s="528"/>
      <c r="AF73" s="151"/>
      <c r="AG73" s="151"/>
      <c r="AH73" s="148"/>
      <c r="AI73" s="148"/>
      <c r="AJ73" s="148"/>
      <c r="AK73" s="148"/>
      <c r="AL73" s="148"/>
      <c r="AM73" s="148"/>
      <c r="AQ73" s="126"/>
      <c r="AR73" s="126"/>
      <c r="AS73" s="126"/>
      <c r="AT73" s="126"/>
      <c r="BA73" s="113"/>
      <c r="BS73" s="5"/>
      <c r="BT73" s="5"/>
      <c r="BU73" s="6"/>
    </row>
    <row r="74" spans="2:73" ht="15.75">
      <c r="B74" s="153">
        <v>43297</v>
      </c>
      <c r="C74" s="526" t="s">
        <v>255</v>
      </c>
      <c r="D74" s="527"/>
      <c r="E74" s="527"/>
      <c r="F74" s="527"/>
      <c r="G74" s="527"/>
      <c r="H74" s="527"/>
      <c r="I74" s="527"/>
      <c r="J74" s="527"/>
      <c r="K74" s="527"/>
      <c r="L74" s="527"/>
      <c r="M74" s="527"/>
      <c r="N74" s="527"/>
      <c r="O74" s="527"/>
      <c r="P74" s="527"/>
      <c r="Q74" s="527"/>
      <c r="R74" s="527"/>
      <c r="S74" s="527"/>
      <c r="T74" s="527"/>
      <c r="U74" s="527"/>
      <c r="V74" s="527"/>
      <c r="W74" s="527"/>
      <c r="X74" s="527"/>
      <c r="Y74" s="527"/>
      <c r="Z74" s="527"/>
      <c r="AA74" s="527"/>
      <c r="AB74" s="527"/>
      <c r="AC74" s="527"/>
      <c r="AD74" s="527"/>
      <c r="AE74" s="528"/>
      <c r="AF74" s="151"/>
      <c r="AG74" s="151"/>
      <c r="AH74" s="148"/>
      <c r="AI74" s="148"/>
      <c r="AJ74" s="148"/>
      <c r="AK74" s="148"/>
      <c r="AL74" s="148"/>
      <c r="AM74" s="148"/>
      <c r="AQ74" s="126"/>
      <c r="AR74" s="126"/>
      <c r="AS74" s="126"/>
      <c r="AT74" s="126"/>
      <c r="BA74" s="113"/>
      <c r="BS74" s="5"/>
      <c r="BT74" s="5"/>
      <c r="BU74" s="6"/>
    </row>
    <row r="75" spans="2:73" ht="15.75">
      <c r="B75" s="153">
        <v>43298</v>
      </c>
      <c r="C75" s="526" t="s">
        <v>230</v>
      </c>
      <c r="D75" s="527"/>
      <c r="E75" s="527"/>
      <c r="F75" s="527"/>
      <c r="G75" s="527"/>
      <c r="H75" s="527"/>
      <c r="I75" s="527"/>
      <c r="J75" s="527"/>
      <c r="K75" s="527"/>
      <c r="L75" s="527"/>
      <c r="M75" s="527"/>
      <c r="N75" s="527"/>
      <c r="O75" s="527"/>
      <c r="P75" s="527"/>
      <c r="Q75" s="527"/>
      <c r="R75" s="527"/>
      <c r="S75" s="527"/>
      <c r="T75" s="527"/>
      <c r="U75" s="527"/>
      <c r="V75" s="527"/>
      <c r="W75" s="527"/>
      <c r="X75" s="527"/>
      <c r="Y75" s="527"/>
      <c r="Z75" s="527"/>
      <c r="AA75" s="527"/>
      <c r="AB75" s="527"/>
      <c r="AC75" s="527"/>
      <c r="AD75" s="527"/>
      <c r="AE75" s="528"/>
      <c r="AF75" s="151"/>
      <c r="AG75" s="151"/>
      <c r="AH75" s="148"/>
      <c r="AI75" s="148"/>
      <c r="AJ75" s="148"/>
      <c r="AK75" s="148"/>
      <c r="AL75" s="148"/>
      <c r="AM75" s="148"/>
      <c r="AQ75" s="126"/>
      <c r="AR75" s="126"/>
      <c r="AS75" s="126"/>
      <c r="AT75" s="126"/>
      <c r="BA75" s="113"/>
      <c r="BS75" s="5"/>
      <c r="BT75" s="5"/>
      <c r="BU75" s="6"/>
    </row>
    <row r="76" spans="2:73" ht="15.75">
      <c r="B76" s="153">
        <v>43299</v>
      </c>
      <c r="C76" s="526" t="s">
        <v>230</v>
      </c>
      <c r="D76" s="527"/>
      <c r="E76" s="527"/>
      <c r="F76" s="527"/>
      <c r="G76" s="527"/>
      <c r="H76" s="527"/>
      <c r="I76" s="527"/>
      <c r="J76" s="527"/>
      <c r="K76" s="527"/>
      <c r="L76" s="527"/>
      <c r="M76" s="527"/>
      <c r="N76" s="527"/>
      <c r="O76" s="527"/>
      <c r="P76" s="527"/>
      <c r="Q76" s="527"/>
      <c r="R76" s="527"/>
      <c r="S76" s="527"/>
      <c r="T76" s="527"/>
      <c r="U76" s="527"/>
      <c r="V76" s="527"/>
      <c r="W76" s="527"/>
      <c r="X76" s="527"/>
      <c r="Y76" s="527"/>
      <c r="Z76" s="527"/>
      <c r="AA76" s="527"/>
      <c r="AB76" s="527"/>
      <c r="AC76" s="527"/>
      <c r="AD76" s="527"/>
      <c r="AE76" s="528"/>
      <c r="AF76" s="151"/>
      <c r="AG76" s="151"/>
      <c r="AH76" s="148"/>
      <c r="AI76" s="148"/>
      <c r="AJ76" s="148"/>
      <c r="AK76" s="148"/>
      <c r="AL76" s="148"/>
      <c r="AM76" s="148"/>
      <c r="AQ76" s="126"/>
      <c r="AR76" s="126"/>
      <c r="AS76" s="126"/>
      <c r="AT76" s="126"/>
      <c r="BA76" s="113"/>
      <c r="BS76" s="5"/>
      <c r="BT76" s="5"/>
      <c r="BU76" s="6"/>
    </row>
    <row r="77" spans="2:73" ht="15.75">
      <c r="B77" s="153">
        <v>43300</v>
      </c>
      <c r="C77" s="526" t="s">
        <v>256</v>
      </c>
      <c r="D77" s="527"/>
      <c r="E77" s="527"/>
      <c r="F77" s="527"/>
      <c r="G77" s="527"/>
      <c r="H77" s="527"/>
      <c r="I77" s="527"/>
      <c r="J77" s="527"/>
      <c r="K77" s="527"/>
      <c r="L77" s="527"/>
      <c r="M77" s="527"/>
      <c r="N77" s="527"/>
      <c r="O77" s="527"/>
      <c r="P77" s="527"/>
      <c r="Q77" s="527"/>
      <c r="R77" s="527"/>
      <c r="S77" s="527"/>
      <c r="T77" s="527"/>
      <c r="U77" s="527"/>
      <c r="V77" s="527"/>
      <c r="W77" s="527"/>
      <c r="X77" s="527"/>
      <c r="Y77" s="527"/>
      <c r="Z77" s="527"/>
      <c r="AA77" s="527"/>
      <c r="AB77" s="527"/>
      <c r="AC77" s="527"/>
      <c r="AD77" s="527"/>
      <c r="AE77" s="528"/>
      <c r="AF77" s="151"/>
      <c r="AG77" s="151"/>
      <c r="AH77" s="148"/>
      <c r="AI77" s="148"/>
      <c r="AJ77" s="148"/>
      <c r="AK77" s="148"/>
      <c r="AL77" s="148"/>
      <c r="AM77" s="148"/>
      <c r="AQ77" s="126"/>
      <c r="AR77" s="126"/>
      <c r="AS77" s="126"/>
      <c r="AT77" s="126"/>
      <c r="BA77" s="113"/>
      <c r="BS77" s="5"/>
      <c r="BT77" s="5"/>
      <c r="BU77" s="6"/>
    </row>
    <row r="78" spans="2:73" ht="15.75">
      <c r="B78" s="153">
        <v>43301</v>
      </c>
      <c r="C78" s="526" t="s">
        <v>256</v>
      </c>
      <c r="D78" s="527"/>
      <c r="E78" s="527"/>
      <c r="F78" s="527"/>
      <c r="G78" s="527"/>
      <c r="H78" s="527"/>
      <c r="I78" s="527"/>
      <c r="J78" s="527"/>
      <c r="K78" s="527"/>
      <c r="L78" s="527"/>
      <c r="M78" s="527"/>
      <c r="N78" s="527"/>
      <c r="O78" s="527"/>
      <c r="P78" s="527"/>
      <c r="Q78" s="527"/>
      <c r="R78" s="527"/>
      <c r="S78" s="527"/>
      <c r="T78" s="527"/>
      <c r="U78" s="527"/>
      <c r="V78" s="527"/>
      <c r="W78" s="527"/>
      <c r="X78" s="527"/>
      <c r="Y78" s="527"/>
      <c r="Z78" s="527"/>
      <c r="AA78" s="527"/>
      <c r="AB78" s="527"/>
      <c r="AC78" s="527"/>
      <c r="AD78" s="527"/>
      <c r="AE78" s="528"/>
      <c r="AF78" s="151"/>
      <c r="AG78" s="151"/>
      <c r="AH78" s="148"/>
      <c r="AI78" s="148"/>
      <c r="AJ78" s="148"/>
      <c r="AK78" s="148"/>
      <c r="AL78" s="148"/>
      <c r="AM78" s="148"/>
      <c r="AQ78" s="126"/>
      <c r="AR78" s="126"/>
      <c r="AS78" s="126"/>
      <c r="AT78" s="126"/>
      <c r="BA78" s="113"/>
      <c r="BS78" s="5"/>
      <c r="BT78" s="5"/>
      <c r="BU78" s="6"/>
    </row>
    <row r="79" spans="2:73" ht="15.75">
      <c r="B79" s="153">
        <v>43302</v>
      </c>
      <c r="C79" s="526" t="s">
        <v>255</v>
      </c>
      <c r="D79" s="527"/>
      <c r="E79" s="527"/>
      <c r="F79" s="527"/>
      <c r="G79" s="527"/>
      <c r="H79" s="527"/>
      <c r="I79" s="527"/>
      <c r="J79" s="527"/>
      <c r="K79" s="527"/>
      <c r="L79" s="527"/>
      <c r="M79" s="527"/>
      <c r="N79" s="527"/>
      <c r="O79" s="527"/>
      <c r="P79" s="527"/>
      <c r="Q79" s="527"/>
      <c r="R79" s="527"/>
      <c r="S79" s="527"/>
      <c r="T79" s="527"/>
      <c r="U79" s="527"/>
      <c r="V79" s="527"/>
      <c r="W79" s="527"/>
      <c r="X79" s="527"/>
      <c r="Y79" s="527"/>
      <c r="Z79" s="527"/>
      <c r="AA79" s="527"/>
      <c r="AB79" s="527"/>
      <c r="AC79" s="527"/>
      <c r="AD79" s="527"/>
      <c r="AE79" s="528"/>
      <c r="AF79" s="151"/>
      <c r="AG79" s="151"/>
      <c r="AH79" s="148"/>
      <c r="AI79" s="148"/>
      <c r="AJ79" s="148"/>
      <c r="AK79" s="148"/>
      <c r="AL79" s="148"/>
      <c r="AM79" s="148"/>
      <c r="AQ79" s="126"/>
      <c r="AR79" s="126"/>
      <c r="AS79" s="126"/>
      <c r="AT79" s="126"/>
      <c r="BA79" s="113"/>
      <c r="BS79" s="5"/>
      <c r="BT79" s="5"/>
      <c r="BU79" s="6"/>
    </row>
    <row r="80" spans="2:73" ht="15.75">
      <c r="B80" s="153">
        <v>43303</v>
      </c>
      <c r="C80" s="526" t="s">
        <v>257</v>
      </c>
      <c r="D80" s="527"/>
      <c r="E80" s="527"/>
      <c r="F80" s="527"/>
      <c r="G80" s="527"/>
      <c r="H80" s="527"/>
      <c r="I80" s="527"/>
      <c r="J80" s="527"/>
      <c r="K80" s="527"/>
      <c r="L80" s="527"/>
      <c r="M80" s="527"/>
      <c r="N80" s="527"/>
      <c r="O80" s="527"/>
      <c r="P80" s="527"/>
      <c r="Q80" s="527"/>
      <c r="R80" s="527"/>
      <c r="S80" s="527"/>
      <c r="T80" s="527"/>
      <c r="U80" s="527"/>
      <c r="V80" s="527"/>
      <c r="W80" s="527"/>
      <c r="X80" s="527"/>
      <c r="Y80" s="527"/>
      <c r="Z80" s="527"/>
      <c r="AA80" s="527"/>
      <c r="AB80" s="527"/>
      <c r="AC80" s="527"/>
      <c r="AD80" s="527"/>
      <c r="AE80" s="528"/>
      <c r="AF80" s="151"/>
      <c r="AG80" s="151"/>
      <c r="AH80" s="148"/>
      <c r="AI80" s="148"/>
      <c r="AJ80" s="148"/>
      <c r="AK80" s="148"/>
      <c r="AL80" s="148"/>
      <c r="AM80" s="148"/>
      <c r="AQ80" s="126"/>
      <c r="AR80" s="126"/>
      <c r="AS80" s="126"/>
      <c r="AT80" s="126"/>
      <c r="BA80" s="113"/>
      <c r="BS80" s="5"/>
      <c r="BT80" s="5"/>
      <c r="BU80" s="6"/>
    </row>
    <row r="81" spans="2:73" ht="15.75">
      <c r="B81" s="153">
        <v>43304</v>
      </c>
      <c r="C81" s="526" t="s">
        <v>256</v>
      </c>
      <c r="D81" s="527"/>
      <c r="E81" s="527"/>
      <c r="F81" s="527"/>
      <c r="G81" s="527"/>
      <c r="H81" s="527"/>
      <c r="I81" s="527"/>
      <c r="J81" s="527"/>
      <c r="K81" s="527"/>
      <c r="L81" s="527"/>
      <c r="M81" s="527"/>
      <c r="N81" s="527"/>
      <c r="O81" s="527"/>
      <c r="P81" s="527"/>
      <c r="Q81" s="527"/>
      <c r="R81" s="527"/>
      <c r="S81" s="527"/>
      <c r="T81" s="527"/>
      <c r="U81" s="527"/>
      <c r="V81" s="527"/>
      <c r="W81" s="527"/>
      <c r="X81" s="527"/>
      <c r="Y81" s="527"/>
      <c r="Z81" s="527"/>
      <c r="AA81" s="527"/>
      <c r="AB81" s="527"/>
      <c r="AC81" s="527"/>
      <c r="AD81" s="527"/>
      <c r="AE81" s="528"/>
      <c r="AF81" s="151"/>
      <c r="AG81" s="151"/>
      <c r="AH81" s="148"/>
      <c r="AI81" s="148"/>
      <c r="AJ81" s="148"/>
      <c r="AK81" s="148"/>
      <c r="AL81" s="148"/>
      <c r="AM81" s="148"/>
      <c r="AQ81" s="126"/>
      <c r="AR81" s="126"/>
      <c r="AS81" s="126"/>
      <c r="AT81" s="126"/>
      <c r="BA81" s="113"/>
      <c r="BS81" s="5"/>
      <c r="BT81" s="5"/>
      <c r="BU81" s="6"/>
    </row>
    <row r="82" spans="2:73" ht="15.75">
      <c r="B82" s="153">
        <v>43305</v>
      </c>
      <c r="C82" s="526" t="s">
        <v>255</v>
      </c>
      <c r="D82" s="527"/>
      <c r="E82" s="527"/>
      <c r="F82" s="527"/>
      <c r="G82" s="527"/>
      <c r="H82" s="527"/>
      <c r="I82" s="527"/>
      <c r="J82" s="527"/>
      <c r="K82" s="527"/>
      <c r="L82" s="527"/>
      <c r="M82" s="527"/>
      <c r="N82" s="527"/>
      <c r="O82" s="527"/>
      <c r="P82" s="527"/>
      <c r="Q82" s="527"/>
      <c r="R82" s="527"/>
      <c r="S82" s="527"/>
      <c r="T82" s="527"/>
      <c r="U82" s="527"/>
      <c r="V82" s="527"/>
      <c r="W82" s="527"/>
      <c r="X82" s="527"/>
      <c r="Y82" s="527"/>
      <c r="Z82" s="527"/>
      <c r="AA82" s="527"/>
      <c r="AB82" s="527"/>
      <c r="AC82" s="527"/>
      <c r="AD82" s="527"/>
      <c r="AE82" s="528"/>
      <c r="AF82" s="151"/>
      <c r="AG82" s="151"/>
      <c r="AH82" s="148"/>
      <c r="AI82" s="148"/>
      <c r="AJ82" s="148"/>
      <c r="AK82" s="148"/>
      <c r="AL82" s="148"/>
      <c r="AM82" s="148"/>
      <c r="AQ82" s="126"/>
      <c r="AR82" s="126"/>
      <c r="AS82" s="126"/>
      <c r="AT82" s="126"/>
      <c r="BA82" s="113"/>
      <c r="BS82" s="5"/>
      <c r="BT82" s="5"/>
      <c r="BU82" s="6"/>
    </row>
    <row r="83" spans="2:73" ht="15.75">
      <c r="B83" s="153">
        <v>43306</v>
      </c>
      <c r="C83" s="526" t="s">
        <v>255</v>
      </c>
      <c r="D83" s="527"/>
      <c r="E83" s="527"/>
      <c r="F83" s="527"/>
      <c r="G83" s="527"/>
      <c r="H83" s="527"/>
      <c r="I83" s="527"/>
      <c r="J83" s="527"/>
      <c r="K83" s="527"/>
      <c r="L83" s="527"/>
      <c r="M83" s="527"/>
      <c r="N83" s="527"/>
      <c r="O83" s="527"/>
      <c r="P83" s="527"/>
      <c r="Q83" s="527"/>
      <c r="R83" s="527"/>
      <c r="S83" s="527"/>
      <c r="T83" s="527"/>
      <c r="U83" s="527"/>
      <c r="V83" s="527"/>
      <c r="W83" s="527"/>
      <c r="X83" s="527"/>
      <c r="Y83" s="527"/>
      <c r="Z83" s="527"/>
      <c r="AA83" s="527"/>
      <c r="AB83" s="527"/>
      <c r="AC83" s="527"/>
      <c r="AD83" s="527"/>
      <c r="AE83" s="528"/>
      <c r="AF83" s="151"/>
      <c r="AG83" s="151"/>
      <c r="AH83" s="148"/>
      <c r="AI83" s="148"/>
      <c r="AJ83" s="148"/>
      <c r="AK83" s="148"/>
      <c r="AL83" s="148"/>
      <c r="AM83" s="148"/>
      <c r="AQ83" s="126"/>
      <c r="AR83" s="126"/>
      <c r="AS83" s="126"/>
      <c r="AT83" s="126"/>
      <c r="BA83" s="113"/>
      <c r="BS83" s="5"/>
      <c r="BT83" s="5"/>
      <c r="BU83" s="6"/>
    </row>
    <row r="84" spans="2:73" ht="15.75">
      <c r="B84" s="153">
        <v>43307</v>
      </c>
      <c r="C84" s="526" t="s">
        <v>254</v>
      </c>
      <c r="D84" s="527"/>
      <c r="E84" s="527"/>
      <c r="F84" s="527"/>
      <c r="G84" s="527"/>
      <c r="H84" s="527"/>
      <c r="I84" s="527"/>
      <c r="J84" s="527"/>
      <c r="K84" s="527"/>
      <c r="L84" s="527"/>
      <c r="M84" s="527"/>
      <c r="N84" s="527"/>
      <c r="O84" s="527"/>
      <c r="P84" s="527"/>
      <c r="Q84" s="527"/>
      <c r="R84" s="527"/>
      <c r="S84" s="527"/>
      <c r="T84" s="527"/>
      <c r="U84" s="527"/>
      <c r="V84" s="527"/>
      <c r="W84" s="527"/>
      <c r="X84" s="527"/>
      <c r="Y84" s="527"/>
      <c r="Z84" s="527"/>
      <c r="AA84" s="527"/>
      <c r="AB84" s="527"/>
      <c r="AC84" s="527"/>
      <c r="AD84" s="527"/>
      <c r="AE84" s="528"/>
      <c r="AF84" s="151"/>
      <c r="AG84" s="151"/>
      <c r="AH84" s="148"/>
      <c r="AI84" s="148"/>
      <c r="AJ84" s="148"/>
      <c r="AK84" s="148"/>
      <c r="AL84" s="148"/>
      <c r="AM84" s="148"/>
      <c r="AQ84" s="126"/>
      <c r="AR84" s="126"/>
      <c r="AS84" s="126"/>
      <c r="AT84" s="126"/>
      <c r="BA84" s="113"/>
      <c r="BS84" s="5"/>
      <c r="BT84" s="5"/>
      <c r="BU84" s="6"/>
    </row>
    <row r="85" spans="2:73" ht="15.75">
      <c r="B85" s="153">
        <v>43308</v>
      </c>
      <c r="C85" s="526" t="s">
        <v>230</v>
      </c>
      <c r="D85" s="527"/>
      <c r="E85" s="527"/>
      <c r="F85" s="527"/>
      <c r="G85" s="527"/>
      <c r="H85" s="527"/>
      <c r="I85" s="527"/>
      <c r="J85" s="527"/>
      <c r="K85" s="527"/>
      <c r="L85" s="527"/>
      <c r="M85" s="527"/>
      <c r="N85" s="527"/>
      <c r="O85" s="527"/>
      <c r="P85" s="527"/>
      <c r="Q85" s="527"/>
      <c r="R85" s="527"/>
      <c r="S85" s="527"/>
      <c r="T85" s="527"/>
      <c r="U85" s="527"/>
      <c r="V85" s="527"/>
      <c r="W85" s="527"/>
      <c r="X85" s="527"/>
      <c r="Y85" s="527"/>
      <c r="Z85" s="527"/>
      <c r="AA85" s="527"/>
      <c r="AB85" s="527"/>
      <c r="AC85" s="527"/>
      <c r="AD85" s="527"/>
      <c r="AE85" s="528"/>
      <c r="AF85" s="151"/>
      <c r="AG85" s="151"/>
      <c r="AH85" s="148"/>
      <c r="AI85" s="148"/>
      <c r="AJ85" s="148"/>
      <c r="AK85" s="148"/>
      <c r="AL85" s="148"/>
      <c r="AM85" s="148"/>
      <c r="AQ85" s="126"/>
      <c r="AR85" s="126"/>
      <c r="AS85" s="126"/>
      <c r="AT85" s="126"/>
      <c r="BA85" s="113"/>
      <c r="BS85" s="5"/>
      <c r="BT85" s="5"/>
      <c r="BU85" s="6"/>
    </row>
    <row r="86" spans="2:73" ht="15.75">
      <c r="B86" s="153">
        <v>43309</v>
      </c>
      <c r="C86" s="526" t="s">
        <v>230</v>
      </c>
      <c r="D86" s="527"/>
      <c r="E86" s="527"/>
      <c r="F86" s="527"/>
      <c r="G86" s="527"/>
      <c r="H86" s="527"/>
      <c r="I86" s="527"/>
      <c r="J86" s="527"/>
      <c r="K86" s="527"/>
      <c r="L86" s="527"/>
      <c r="M86" s="527"/>
      <c r="N86" s="527"/>
      <c r="O86" s="527"/>
      <c r="P86" s="527"/>
      <c r="Q86" s="527"/>
      <c r="R86" s="527"/>
      <c r="S86" s="527"/>
      <c r="T86" s="527"/>
      <c r="U86" s="527"/>
      <c r="V86" s="527"/>
      <c r="W86" s="527"/>
      <c r="X86" s="527"/>
      <c r="Y86" s="527"/>
      <c r="Z86" s="527"/>
      <c r="AA86" s="527"/>
      <c r="AB86" s="527"/>
      <c r="AC86" s="527"/>
      <c r="AD86" s="527"/>
      <c r="AE86" s="528"/>
      <c r="AF86" s="151"/>
      <c r="AG86" s="151"/>
      <c r="AH86" s="148"/>
      <c r="AI86" s="148"/>
      <c r="AJ86" s="148"/>
      <c r="AK86" s="148"/>
      <c r="AL86" s="148"/>
      <c r="AM86" s="148"/>
      <c r="AQ86" s="126"/>
      <c r="AR86" s="126"/>
      <c r="AS86" s="126"/>
      <c r="AT86" s="126"/>
      <c r="BA86" s="113"/>
      <c r="BS86" s="5"/>
      <c r="BT86" s="5"/>
      <c r="BU86" s="6"/>
    </row>
    <row r="87" spans="2:73" ht="15.75">
      <c r="B87" s="153">
        <v>43310</v>
      </c>
      <c r="C87" s="526" t="s">
        <v>255</v>
      </c>
      <c r="D87" s="527"/>
      <c r="E87" s="527"/>
      <c r="F87" s="527"/>
      <c r="G87" s="527"/>
      <c r="H87" s="527"/>
      <c r="I87" s="527"/>
      <c r="J87" s="527"/>
      <c r="K87" s="527"/>
      <c r="L87" s="527"/>
      <c r="M87" s="527"/>
      <c r="N87" s="527"/>
      <c r="O87" s="527"/>
      <c r="P87" s="527"/>
      <c r="Q87" s="527"/>
      <c r="R87" s="527"/>
      <c r="S87" s="527"/>
      <c r="T87" s="527"/>
      <c r="U87" s="527"/>
      <c r="V87" s="527"/>
      <c r="W87" s="527"/>
      <c r="X87" s="527"/>
      <c r="Y87" s="527"/>
      <c r="Z87" s="527"/>
      <c r="AA87" s="527"/>
      <c r="AB87" s="527"/>
      <c r="AC87" s="527"/>
      <c r="AD87" s="527"/>
      <c r="AE87" s="528"/>
    </row>
    <row r="88" spans="2:73" ht="15.75">
      <c r="B88" s="153">
        <v>43311</v>
      </c>
      <c r="C88" s="526" t="s">
        <v>255</v>
      </c>
      <c r="D88" s="527"/>
      <c r="E88" s="527"/>
      <c r="F88" s="527"/>
      <c r="G88" s="527"/>
      <c r="H88" s="527"/>
      <c r="I88" s="527"/>
      <c r="J88" s="527"/>
      <c r="K88" s="527"/>
      <c r="L88" s="527"/>
      <c r="M88" s="527"/>
      <c r="N88" s="527"/>
      <c r="O88" s="527"/>
      <c r="P88" s="527"/>
      <c r="Q88" s="527"/>
      <c r="R88" s="527"/>
      <c r="S88" s="527"/>
      <c r="T88" s="527"/>
      <c r="U88" s="527"/>
      <c r="V88" s="527"/>
      <c r="W88" s="527"/>
      <c r="X88" s="527"/>
      <c r="Y88" s="527"/>
      <c r="Z88" s="527"/>
      <c r="AA88" s="527"/>
      <c r="AB88" s="527"/>
      <c r="AC88" s="527"/>
      <c r="AD88" s="527"/>
      <c r="AE88" s="528"/>
    </row>
    <row r="89" spans="2:73" ht="15.75">
      <c r="B89" s="153">
        <v>43312</v>
      </c>
      <c r="C89" s="526" t="s">
        <v>259</v>
      </c>
      <c r="D89" s="527"/>
      <c r="E89" s="527"/>
      <c r="F89" s="527"/>
      <c r="G89" s="527"/>
      <c r="H89" s="527"/>
      <c r="I89" s="527"/>
      <c r="J89" s="527"/>
      <c r="K89" s="527"/>
      <c r="L89" s="527"/>
      <c r="M89" s="527"/>
      <c r="N89" s="527"/>
      <c r="O89" s="527"/>
      <c r="P89" s="527"/>
      <c r="Q89" s="527"/>
      <c r="R89" s="527"/>
      <c r="S89" s="527"/>
      <c r="T89" s="527"/>
      <c r="U89" s="527"/>
      <c r="V89" s="527"/>
      <c r="W89" s="527"/>
      <c r="X89" s="527"/>
      <c r="Y89" s="527"/>
      <c r="Z89" s="527"/>
      <c r="AA89" s="527"/>
      <c r="AB89" s="527"/>
      <c r="AC89" s="527"/>
      <c r="AD89" s="527"/>
      <c r="AE89" s="528"/>
    </row>
    <row r="102" spans="17:19">
      <c r="Q102">
        <f>53/60</f>
        <v>0.8833333333333333</v>
      </c>
    </row>
    <row r="103" spans="17:19">
      <c r="Q103">
        <f>6/60</f>
        <v>0.1</v>
      </c>
    </row>
    <row r="106" spans="17:19">
      <c r="S106">
        <f>6/60</f>
        <v>0.1</v>
      </c>
    </row>
  </sheetData>
  <mergeCells count="117">
    <mergeCell ref="C83:AE83"/>
    <mergeCell ref="C84:AE84"/>
    <mergeCell ref="C85:AE85"/>
    <mergeCell ref="C86:AE86"/>
    <mergeCell ref="C87:AE87"/>
    <mergeCell ref="C88:AE88"/>
    <mergeCell ref="C77:AE77"/>
    <mergeCell ref="C78:AE78"/>
    <mergeCell ref="C79:AE79"/>
    <mergeCell ref="C80:AE80"/>
    <mergeCell ref="C81:AE81"/>
    <mergeCell ref="C82:AE82"/>
    <mergeCell ref="C71:AE71"/>
    <mergeCell ref="C72:AE72"/>
    <mergeCell ref="C73:AE73"/>
    <mergeCell ref="C74:AE74"/>
    <mergeCell ref="C75:AE75"/>
    <mergeCell ref="C76:AE76"/>
    <mergeCell ref="C65:AE65"/>
    <mergeCell ref="C66:AE66"/>
    <mergeCell ref="C67:AE67"/>
    <mergeCell ref="C68:AE68"/>
    <mergeCell ref="C69:AE69"/>
    <mergeCell ref="C70:AE70"/>
    <mergeCell ref="C59:AE59"/>
    <mergeCell ref="C60:AE60"/>
    <mergeCell ref="C61:AE61"/>
    <mergeCell ref="C62:AE62"/>
    <mergeCell ref="C63:AE63"/>
    <mergeCell ref="C64:AE64"/>
    <mergeCell ref="H50:I50"/>
    <mergeCell ref="J50:K50"/>
    <mergeCell ref="L50:M50"/>
    <mergeCell ref="N50:O50"/>
    <mergeCell ref="P50:Q50"/>
    <mergeCell ref="C58:AE58"/>
    <mergeCell ref="A5:A11"/>
    <mergeCell ref="A12:A18"/>
    <mergeCell ref="A19:A25"/>
    <mergeCell ref="A26:A32"/>
    <mergeCell ref="F50:G50"/>
    <mergeCell ref="CA2:CA4"/>
    <mergeCell ref="CC2:CD2"/>
    <mergeCell ref="CE2:CF2"/>
    <mergeCell ref="H3:I3"/>
    <mergeCell ref="J3:K3"/>
    <mergeCell ref="L3:M3"/>
    <mergeCell ref="N3:O3"/>
    <mergeCell ref="BH3:BH4"/>
    <mergeCell ref="BI3:BI4"/>
    <mergeCell ref="BK3:BK4"/>
    <mergeCell ref="BR2:BR4"/>
    <mergeCell ref="BS2:BS4"/>
    <mergeCell ref="BT2:BT4"/>
    <mergeCell ref="BW2:BW4"/>
    <mergeCell ref="BX2:BX4"/>
    <mergeCell ref="BZ2:BZ4"/>
    <mergeCell ref="BV3:BV4"/>
    <mergeCell ref="BE2:BE4"/>
    <mergeCell ref="BF2:BF4"/>
    <mergeCell ref="BG2:BG4"/>
    <mergeCell ref="BL2:BM2"/>
    <mergeCell ref="BP2:BP4"/>
    <mergeCell ref="BQ2:BQ4"/>
    <mergeCell ref="BL3:BL4"/>
    <mergeCell ref="BM3:BM4"/>
    <mergeCell ref="BN3:BN4"/>
    <mergeCell ref="BO3:BO4"/>
    <mergeCell ref="AX2:AX4"/>
    <mergeCell ref="AY2:AY4"/>
    <mergeCell ref="AZ2:AZ4"/>
    <mergeCell ref="BB2:BB4"/>
    <mergeCell ref="BC2:BC4"/>
    <mergeCell ref="BD2:BD4"/>
    <mergeCell ref="AQ2:AQ4"/>
    <mergeCell ref="AR2:AR4"/>
    <mergeCell ref="AT2:AT4"/>
    <mergeCell ref="AU2:AU4"/>
    <mergeCell ref="AV2:AV4"/>
    <mergeCell ref="AW2:AW4"/>
    <mergeCell ref="X2:X4"/>
    <mergeCell ref="AK2:AK4"/>
    <mergeCell ref="AL2:AL4"/>
    <mergeCell ref="AM2:AM4"/>
    <mergeCell ref="AN2:AN4"/>
    <mergeCell ref="AO2:AO4"/>
    <mergeCell ref="AP2:AP4"/>
    <mergeCell ref="AE2:AE4"/>
    <mergeCell ref="AF2:AF4"/>
    <mergeCell ref="AG2:AG4"/>
    <mergeCell ref="AH2:AH4"/>
    <mergeCell ref="AI2:AI4"/>
    <mergeCell ref="AJ2:AJ4"/>
    <mergeCell ref="A33:A39"/>
    <mergeCell ref="A40:A46"/>
    <mergeCell ref="C89:AE89"/>
    <mergeCell ref="B1:AG1"/>
    <mergeCell ref="B2:B4"/>
    <mergeCell ref="C2:C4"/>
    <mergeCell ref="D2:D4"/>
    <mergeCell ref="E2:E4"/>
    <mergeCell ref="F2:G3"/>
    <mergeCell ref="H2:K2"/>
    <mergeCell ref="L2:O2"/>
    <mergeCell ref="P2:Q3"/>
    <mergeCell ref="R2:R4"/>
    <mergeCell ref="Y2:Y4"/>
    <mergeCell ref="Z2:Z4"/>
    <mergeCell ref="AA2:AA4"/>
    <mergeCell ref="AB2:AB4"/>
    <mergeCell ref="AC2:AC4"/>
    <mergeCell ref="AD2:AD4"/>
    <mergeCell ref="S2:S4"/>
    <mergeCell ref="T2:T4"/>
    <mergeCell ref="U2:U4"/>
    <mergeCell ref="V2:V4"/>
    <mergeCell ref="W2:W4"/>
  </mergeCells>
  <pageMargins left="0.7" right="0.7" top="0.75" bottom="0.75" header="0.3" footer="0.3"/>
  <pageSetup paperSize="9" orientation="portrait" r:id="rId1"/>
  <ignoredErrors>
    <ignoredError sqref="AC5:AD24 AC25 AC26:AD38 AP5:AP38 AM5:AM38 AP39:AP41 AM39:AM41 AC39:AD41" unlockedFormula="1"/>
    <ignoredError sqref="AB47:AH47 AK47:AL47 AN47 AT47:AZ47 BB47:BD47 BH47:BT47 BW47:BX47 BZ47:CA47 C47:H47 J47:T47 V47" formulaRange="1"/>
    <ignoredError sqref="W47:AA47 AO47 I47" formula="1" formulaRange="1"/>
  </ignoredErrors>
</worksheet>
</file>

<file path=xl/worksheets/sheet8.xml><?xml version="1.0" encoding="utf-8"?>
<worksheet xmlns="http://schemas.openxmlformats.org/spreadsheetml/2006/main" xmlns:r="http://schemas.openxmlformats.org/officeDocument/2006/relationships">
  <dimension ref="A1:CF99"/>
  <sheetViews>
    <sheetView workbookViewId="0">
      <pane xSplit="2" ySplit="4" topLeftCell="C59" activePane="bottomRight" state="frozen"/>
      <selection pane="topRight" activeCell="C1" sqref="C1"/>
      <selection pane="bottomLeft" activeCell="A5" sqref="A5"/>
      <selection pane="bottomRight" activeCell="BX44" sqref="BX44"/>
    </sheetView>
  </sheetViews>
  <sheetFormatPr defaultRowHeight="15"/>
  <cols>
    <col min="2" max="2" width="10.140625" customWidth="1"/>
    <col min="37" max="37" width="9.5703125" bestFit="1" customWidth="1"/>
    <col min="39" max="39" width="9.5703125" customWidth="1"/>
    <col min="42" max="42" width="10" customWidth="1"/>
  </cols>
  <sheetData>
    <row r="1" spans="1:84" ht="18.75" thickBot="1">
      <c r="B1" s="490">
        <v>43313</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7"/>
      <c r="AI1" s="7"/>
      <c r="AJ1" s="7"/>
      <c r="AK1" s="8"/>
      <c r="AL1" s="8"/>
      <c r="AM1" s="8"/>
      <c r="AN1" s="8"/>
      <c r="AO1" s="8"/>
      <c r="AP1" s="8"/>
      <c r="AQ1" s="8"/>
      <c r="AR1" s="8"/>
      <c r="AS1" s="9"/>
      <c r="AT1" s="10"/>
      <c r="AU1" s="10"/>
      <c r="AV1" s="10"/>
      <c r="AW1" s="10"/>
      <c r="AX1" s="10"/>
      <c r="AY1" s="11"/>
      <c r="AZ1" s="11"/>
      <c r="BA1" s="4"/>
      <c r="BS1" s="5"/>
      <c r="BT1" s="5"/>
      <c r="BU1" s="6"/>
    </row>
    <row r="2" spans="1:84" ht="30.75" thickBot="1">
      <c r="A2" s="12"/>
      <c r="B2" s="491" t="s">
        <v>1</v>
      </c>
      <c r="C2" s="442" t="s">
        <v>2</v>
      </c>
      <c r="D2" s="494" t="s">
        <v>3</v>
      </c>
      <c r="E2" s="442" t="s">
        <v>130</v>
      </c>
      <c r="F2" s="497" t="s">
        <v>4</v>
      </c>
      <c r="G2" s="498"/>
      <c r="H2" s="477" t="s">
        <v>5</v>
      </c>
      <c r="I2" s="501"/>
      <c r="J2" s="501"/>
      <c r="K2" s="480"/>
      <c r="L2" s="477" t="s">
        <v>6</v>
      </c>
      <c r="M2" s="501"/>
      <c r="N2" s="501"/>
      <c r="O2" s="480"/>
      <c r="P2" s="502" t="s">
        <v>7</v>
      </c>
      <c r="Q2" s="503"/>
      <c r="R2" s="506" t="s">
        <v>8</v>
      </c>
      <c r="S2" s="422" t="s">
        <v>9</v>
      </c>
      <c r="T2" s="425" t="s">
        <v>10</v>
      </c>
      <c r="U2" s="433" t="s">
        <v>11</v>
      </c>
      <c r="V2" s="436" t="s">
        <v>12</v>
      </c>
      <c r="W2" s="439" t="s">
        <v>13</v>
      </c>
      <c r="X2" s="439" t="s">
        <v>14</v>
      </c>
      <c r="Y2" s="439" t="s">
        <v>15</v>
      </c>
      <c r="Z2" s="439" t="s">
        <v>16</v>
      </c>
      <c r="AA2" s="439" t="s">
        <v>17</v>
      </c>
      <c r="AB2" s="439" t="s">
        <v>18</v>
      </c>
      <c r="AC2" s="515" t="s">
        <v>19</v>
      </c>
      <c r="AD2" s="512" t="s">
        <v>20</v>
      </c>
      <c r="AE2" s="509" t="s">
        <v>21</v>
      </c>
      <c r="AF2" s="512" t="s">
        <v>22</v>
      </c>
      <c r="AG2" s="465" t="s">
        <v>23</v>
      </c>
      <c r="AH2" s="465" t="s">
        <v>24</v>
      </c>
      <c r="AI2" s="465" t="s">
        <v>25</v>
      </c>
      <c r="AJ2" s="468" t="s">
        <v>26</v>
      </c>
      <c r="AK2" s="518" t="s">
        <v>27</v>
      </c>
      <c r="AL2" s="419" t="s">
        <v>28</v>
      </c>
      <c r="AM2" s="468" t="s">
        <v>29</v>
      </c>
      <c r="AN2" s="419" t="s">
        <v>30</v>
      </c>
      <c r="AO2" s="419" t="s">
        <v>31</v>
      </c>
      <c r="AP2" s="468" t="s">
        <v>32</v>
      </c>
      <c r="AQ2" s="521" t="s">
        <v>33</v>
      </c>
      <c r="AR2" s="522" t="s">
        <v>34</v>
      </c>
      <c r="AS2" s="13"/>
      <c r="AT2" s="462" t="s">
        <v>35</v>
      </c>
      <c r="AU2" s="447" t="s">
        <v>36</v>
      </c>
      <c r="AV2" s="447" t="s">
        <v>37</v>
      </c>
      <c r="AW2" s="447" t="s">
        <v>38</v>
      </c>
      <c r="AX2" s="447" t="s">
        <v>39</v>
      </c>
      <c r="AY2" s="447" t="s">
        <v>40</v>
      </c>
      <c r="AZ2" s="447" t="s">
        <v>41</v>
      </c>
      <c r="BA2" s="4"/>
      <c r="BB2" s="447" t="s">
        <v>42</v>
      </c>
      <c r="BC2" s="447" t="s">
        <v>43</v>
      </c>
      <c r="BD2" s="447" t="s">
        <v>44</v>
      </c>
      <c r="BE2" s="447" t="s">
        <v>45</v>
      </c>
      <c r="BF2" s="447" t="s">
        <v>46</v>
      </c>
      <c r="BG2" s="447" t="s">
        <v>47</v>
      </c>
      <c r="BH2" s="14" t="s">
        <v>48</v>
      </c>
      <c r="BI2" s="14" t="s">
        <v>49</v>
      </c>
      <c r="BJ2" s="14" t="s">
        <v>50</v>
      </c>
      <c r="BK2" s="14" t="s">
        <v>51</v>
      </c>
      <c r="BL2" s="445" t="s">
        <v>52</v>
      </c>
      <c r="BM2" s="446"/>
      <c r="BN2" s="14" t="s">
        <v>53</v>
      </c>
      <c r="BO2" s="14" t="s">
        <v>54</v>
      </c>
      <c r="BP2" s="447" t="s">
        <v>55</v>
      </c>
      <c r="BQ2" s="484" t="s">
        <v>56</v>
      </c>
      <c r="BR2" s="484" t="s">
        <v>57</v>
      </c>
      <c r="BS2" s="481" t="s">
        <v>58</v>
      </c>
      <c r="BT2" s="481" t="s">
        <v>59</v>
      </c>
      <c r="BU2" s="6"/>
      <c r="BV2" s="14" t="s">
        <v>60</v>
      </c>
      <c r="BW2" s="447" t="s">
        <v>61</v>
      </c>
      <c r="BX2" s="447" t="s">
        <v>62</v>
      </c>
      <c r="BZ2" s="474" t="s">
        <v>63</v>
      </c>
      <c r="CA2" s="474" t="s">
        <v>64</v>
      </c>
      <c r="CC2" s="487" t="s">
        <v>124</v>
      </c>
      <c r="CD2" s="488"/>
      <c r="CE2" s="487" t="s">
        <v>128</v>
      </c>
      <c r="CF2" s="488"/>
    </row>
    <row r="3" spans="1:84" ht="26.25" thickBot="1">
      <c r="A3" s="16"/>
      <c r="B3" s="492"/>
      <c r="C3" s="443"/>
      <c r="D3" s="495"/>
      <c r="E3" s="443"/>
      <c r="F3" s="499"/>
      <c r="G3" s="500"/>
      <c r="H3" s="477" t="s">
        <v>65</v>
      </c>
      <c r="I3" s="478"/>
      <c r="J3" s="479" t="s">
        <v>66</v>
      </c>
      <c r="K3" s="480"/>
      <c r="L3" s="477" t="s">
        <v>65</v>
      </c>
      <c r="M3" s="478"/>
      <c r="N3" s="479" t="s">
        <v>66</v>
      </c>
      <c r="O3" s="480"/>
      <c r="P3" s="504"/>
      <c r="Q3" s="505"/>
      <c r="R3" s="507"/>
      <c r="S3" s="423"/>
      <c r="T3" s="426"/>
      <c r="U3" s="434"/>
      <c r="V3" s="437"/>
      <c r="W3" s="440"/>
      <c r="X3" s="440"/>
      <c r="Y3" s="440"/>
      <c r="Z3" s="440"/>
      <c r="AA3" s="440"/>
      <c r="AB3" s="440"/>
      <c r="AC3" s="516"/>
      <c r="AD3" s="513"/>
      <c r="AE3" s="510"/>
      <c r="AF3" s="513"/>
      <c r="AG3" s="466"/>
      <c r="AH3" s="466"/>
      <c r="AI3" s="466"/>
      <c r="AJ3" s="469"/>
      <c r="AK3" s="519"/>
      <c r="AL3" s="420"/>
      <c r="AM3" s="469"/>
      <c r="AN3" s="420"/>
      <c r="AO3" s="420"/>
      <c r="AP3" s="469"/>
      <c r="AQ3" s="521"/>
      <c r="AR3" s="523"/>
      <c r="AS3" s="13"/>
      <c r="AT3" s="463"/>
      <c r="AU3" s="440"/>
      <c r="AV3" s="440"/>
      <c r="AW3" s="440"/>
      <c r="AX3" s="440"/>
      <c r="AY3" s="440"/>
      <c r="AZ3" s="440"/>
      <c r="BA3" s="4"/>
      <c r="BB3" s="440"/>
      <c r="BC3" s="440"/>
      <c r="BD3" s="440"/>
      <c r="BE3" s="440"/>
      <c r="BF3" s="440"/>
      <c r="BG3" s="440"/>
      <c r="BH3" s="457" t="s">
        <v>67</v>
      </c>
      <c r="BI3" s="457" t="s">
        <v>67</v>
      </c>
      <c r="BJ3" s="17" t="s">
        <v>68</v>
      </c>
      <c r="BK3" s="449" t="s">
        <v>69</v>
      </c>
      <c r="BL3" s="449" t="s">
        <v>69</v>
      </c>
      <c r="BM3" s="449" t="s">
        <v>70</v>
      </c>
      <c r="BN3" s="457" t="s">
        <v>71</v>
      </c>
      <c r="BO3" s="457" t="s">
        <v>72</v>
      </c>
      <c r="BP3" s="440"/>
      <c r="BQ3" s="485"/>
      <c r="BR3" s="485"/>
      <c r="BS3" s="482"/>
      <c r="BT3" s="482"/>
      <c r="BU3" s="6"/>
      <c r="BV3" s="457" t="s">
        <v>67</v>
      </c>
      <c r="BW3" s="440"/>
      <c r="BX3" s="440"/>
      <c r="BZ3" s="475"/>
      <c r="CA3" s="475"/>
      <c r="CC3" s="211" t="s">
        <v>129</v>
      </c>
      <c r="CD3" s="210" t="s">
        <v>125</v>
      </c>
      <c r="CE3" s="211" t="s">
        <v>129</v>
      </c>
      <c r="CF3" s="210" t="s">
        <v>125</v>
      </c>
    </row>
    <row r="4" spans="1:84" ht="15.75" thickBot="1">
      <c r="A4" s="16"/>
      <c r="B4" s="493"/>
      <c r="C4" s="444"/>
      <c r="D4" s="496"/>
      <c r="E4" s="444"/>
      <c r="F4" s="18" t="s">
        <v>73</v>
      </c>
      <c r="G4" s="19" t="s">
        <v>74</v>
      </c>
      <c r="H4" s="350" t="s">
        <v>75</v>
      </c>
      <c r="I4" s="21" t="s">
        <v>76</v>
      </c>
      <c r="J4" s="21" t="s">
        <v>75</v>
      </c>
      <c r="K4" s="351" t="s">
        <v>76</v>
      </c>
      <c r="L4" s="23" t="s">
        <v>75</v>
      </c>
      <c r="M4" s="21" t="s">
        <v>76</v>
      </c>
      <c r="N4" s="21" t="s">
        <v>75</v>
      </c>
      <c r="O4" s="19" t="s">
        <v>76</v>
      </c>
      <c r="P4" s="21" t="s">
        <v>75</v>
      </c>
      <c r="Q4" s="19" t="s">
        <v>76</v>
      </c>
      <c r="R4" s="508"/>
      <c r="S4" s="424"/>
      <c r="T4" s="427"/>
      <c r="U4" s="435"/>
      <c r="V4" s="438"/>
      <c r="W4" s="441"/>
      <c r="X4" s="441"/>
      <c r="Y4" s="441"/>
      <c r="Z4" s="441"/>
      <c r="AA4" s="441"/>
      <c r="AB4" s="441"/>
      <c r="AC4" s="517"/>
      <c r="AD4" s="514"/>
      <c r="AE4" s="511"/>
      <c r="AF4" s="514"/>
      <c r="AG4" s="467"/>
      <c r="AH4" s="467"/>
      <c r="AI4" s="467"/>
      <c r="AJ4" s="470"/>
      <c r="AK4" s="520"/>
      <c r="AL4" s="421"/>
      <c r="AM4" s="470"/>
      <c r="AN4" s="421"/>
      <c r="AO4" s="421"/>
      <c r="AP4" s="470"/>
      <c r="AQ4" s="521"/>
      <c r="AR4" s="524"/>
      <c r="AS4" s="13"/>
      <c r="AT4" s="464"/>
      <c r="AU4" s="448"/>
      <c r="AV4" s="448"/>
      <c r="AW4" s="448"/>
      <c r="AX4" s="448"/>
      <c r="AY4" s="448"/>
      <c r="AZ4" s="448"/>
      <c r="BA4" s="4"/>
      <c r="BB4" s="448"/>
      <c r="BC4" s="448"/>
      <c r="BD4" s="448"/>
      <c r="BE4" s="448"/>
      <c r="BF4" s="448"/>
      <c r="BG4" s="448"/>
      <c r="BH4" s="458"/>
      <c r="BI4" s="458"/>
      <c r="BJ4" s="17" t="s">
        <v>77</v>
      </c>
      <c r="BK4" s="450"/>
      <c r="BL4" s="450"/>
      <c r="BM4" s="450"/>
      <c r="BN4" s="458"/>
      <c r="BO4" s="458"/>
      <c r="BP4" s="448"/>
      <c r="BQ4" s="486"/>
      <c r="BR4" s="486"/>
      <c r="BS4" s="483"/>
      <c r="BT4" s="483"/>
      <c r="BU4" s="6"/>
      <c r="BV4" s="458"/>
      <c r="BW4" s="448"/>
      <c r="BX4" s="448"/>
      <c r="BZ4" s="476"/>
      <c r="CA4" s="476"/>
      <c r="CC4" s="213" t="s">
        <v>126</v>
      </c>
      <c r="CD4" s="212" t="s">
        <v>127</v>
      </c>
      <c r="CE4" s="213" t="s">
        <v>126</v>
      </c>
      <c r="CF4" s="212" t="s">
        <v>127</v>
      </c>
    </row>
    <row r="5" spans="1:84">
      <c r="A5" s="525" t="s">
        <v>258</v>
      </c>
      <c r="B5" s="24">
        <v>43311</v>
      </c>
      <c r="C5" s="280">
        <v>94.5</v>
      </c>
      <c r="D5" s="281">
        <v>0.65500000000000003</v>
      </c>
      <c r="E5" s="282">
        <v>80.599999999999994</v>
      </c>
      <c r="F5" s="223">
        <v>104</v>
      </c>
      <c r="G5" s="223">
        <v>86</v>
      </c>
      <c r="H5" s="283">
        <v>24</v>
      </c>
      <c r="I5" s="283">
        <v>0</v>
      </c>
      <c r="J5" s="283">
        <v>24</v>
      </c>
      <c r="K5" s="283">
        <v>0</v>
      </c>
      <c r="L5" s="284">
        <v>0</v>
      </c>
      <c r="M5" s="284">
        <v>0</v>
      </c>
      <c r="N5" s="284">
        <v>0</v>
      </c>
      <c r="O5" s="284">
        <v>0</v>
      </c>
      <c r="P5" s="284">
        <v>0</v>
      </c>
      <c r="Q5" s="280">
        <v>0</v>
      </c>
      <c r="R5" s="285">
        <v>3449</v>
      </c>
      <c r="S5" s="286">
        <v>2917</v>
      </c>
      <c r="T5" s="286">
        <v>2917</v>
      </c>
      <c r="U5" s="286">
        <v>2843</v>
      </c>
      <c r="V5" s="287">
        <v>2945</v>
      </c>
      <c r="W5" s="283">
        <v>40</v>
      </c>
      <c r="X5" s="283">
        <v>0</v>
      </c>
      <c r="Y5" s="283">
        <v>42</v>
      </c>
      <c r="Z5" s="288">
        <v>0</v>
      </c>
      <c r="AA5" s="288">
        <v>57</v>
      </c>
      <c r="AB5" s="284">
        <v>0</v>
      </c>
      <c r="AC5" s="284">
        <f t="shared" ref="AC5:AC11" si="0">V5-U5+AZ5</f>
        <v>102</v>
      </c>
      <c r="AD5" s="222">
        <f t="shared" ref="AD5:AD11" si="1">U5-T5</f>
        <v>-74</v>
      </c>
      <c r="AE5" s="223">
        <v>124</v>
      </c>
      <c r="AF5" s="224">
        <f t="shared" ref="AF5:AF11" si="2">IF(AE5&gt;0, V5/(AE5*24),"no data")</f>
        <v>0.98958333333333337</v>
      </c>
      <c r="AG5" s="225">
        <f t="shared" ref="AG5:AG10" si="3">IF(R5&gt;0,R5/24,"no data")</f>
        <v>143.70833333333334</v>
      </c>
      <c r="AH5" s="224">
        <f t="shared" ref="AH5:AH10" si="4">IF(U5&gt;0,(U5/R5),"no data")</f>
        <v>0.82429689765149317</v>
      </c>
      <c r="AI5" s="226">
        <f t="shared" ref="AI5:AI15" si="5">IF(U5&gt;0,(1440-((W5*X5)+(Y5*Z5)+(AA5*AB5))/(W5+Y5+AA5))/1440,"no data")</f>
        <v>1</v>
      </c>
      <c r="AJ5" s="227">
        <f t="shared" ref="AJ5:AJ10" si="6">IF(U5&gt;0,(1440-((X5*W5+AT5*AU5)+(Z5*Y5+AV5*AW5)+(AA5*AB5+AX5*AY5))/(W5+Y5+AA5))/1440,"no data")</f>
        <v>0.87769784172661869</v>
      </c>
      <c r="AK5" s="255">
        <v>7.7809999999999997</v>
      </c>
      <c r="AL5" s="256">
        <v>159.41</v>
      </c>
      <c r="AM5" s="282">
        <f t="shared" ref="AM5:AM11" si="7">AK5*AL5</f>
        <v>1240.3692099999998</v>
      </c>
      <c r="AN5" s="255">
        <v>24.024000000000001</v>
      </c>
      <c r="AO5" s="323">
        <v>981.52</v>
      </c>
      <c r="AP5" s="290">
        <f t="shared" ref="AP5:AP11" si="8">AN5*AO5</f>
        <v>23580.036479999999</v>
      </c>
      <c r="AQ5" s="228">
        <f t="shared" ref="AQ5:AQ11" si="9">IF(U5&gt;0,((((AK5*AL5)+(AN5*AO5))/(U5*1000))*1000000),"no data")</f>
        <v>8730.3572599366853</v>
      </c>
      <c r="AR5" s="229">
        <f t="shared" ref="AR5:AR11" si="10">IF(S5&gt;0,S5/24, "no data")</f>
        <v>121.54166666666667</v>
      </c>
      <c r="AS5" s="291"/>
      <c r="AT5" s="223">
        <v>0</v>
      </c>
      <c r="AU5" s="292">
        <v>0</v>
      </c>
      <c r="AV5" s="292">
        <v>0</v>
      </c>
      <c r="AW5" s="223">
        <v>0</v>
      </c>
      <c r="AX5" s="292">
        <v>17</v>
      </c>
      <c r="AY5" s="223">
        <v>1440</v>
      </c>
      <c r="AZ5" s="223">
        <v>0</v>
      </c>
      <c r="BA5" s="293"/>
      <c r="BB5" s="242">
        <v>957</v>
      </c>
      <c r="BC5" s="242">
        <v>1017</v>
      </c>
      <c r="BD5" s="242">
        <v>971</v>
      </c>
      <c r="BE5" s="242">
        <f t="shared" ref="BE5:BE10" si="11">BC5-BB5</f>
        <v>60</v>
      </c>
      <c r="BF5" s="242">
        <f t="shared" ref="BF5:BF10" si="12">AQ5</f>
        <v>8730.3572599366853</v>
      </c>
      <c r="BG5" s="294">
        <f t="shared" ref="BG5:BG11" si="13">BD5/24</f>
        <v>40.458333333333336</v>
      </c>
      <c r="BH5" s="295">
        <v>0</v>
      </c>
      <c r="BI5" s="296">
        <v>0</v>
      </c>
      <c r="BJ5" s="297">
        <v>24</v>
      </c>
      <c r="BK5" s="298">
        <v>24.88</v>
      </c>
      <c r="BL5" s="298">
        <v>20.82</v>
      </c>
      <c r="BM5" s="298">
        <v>24.3</v>
      </c>
      <c r="BN5" s="299">
        <v>981.9</v>
      </c>
      <c r="BO5" s="298">
        <v>50.11</v>
      </c>
      <c r="BP5" s="300">
        <v>0.94469999999999998</v>
      </c>
      <c r="BQ5" s="298">
        <v>95.1</v>
      </c>
      <c r="BR5" s="297">
        <v>87.4</v>
      </c>
      <c r="BS5" s="242">
        <v>12208</v>
      </c>
      <c r="BT5" s="242">
        <v>11651</v>
      </c>
      <c r="BU5" s="301">
        <f t="shared" ref="BU5:BU10" si="14">BT5-BS5</f>
        <v>-557</v>
      </c>
      <c r="BV5" s="242">
        <f>BH5+BI5</f>
        <v>0</v>
      </c>
      <c r="BW5" s="302">
        <v>0</v>
      </c>
      <c r="BX5" s="302">
        <v>0</v>
      </c>
      <c r="BZ5" s="302">
        <v>24</v>
      </c>
      <c r="CA5" s="302">
        <v>6.6</v>
      </c>
      <c r="CC5" s="302">
        <v>2.1</v>
      </c>
      <c r="CD5" s="302">
        <v>4.5999999999999996</v>
      </c>
      <c r="CE5" s="302">
        <v>2.1</v>
      </c>
      <c r="CF5" s="302">
        <v>0</v>
      </c>
    </row>
    <row r="6" spans="1:84">
      <c r="A6" s="525"/>
      <c r="B6" s="24">
        <v>43312</v>
      </c>
      <c r="C6" s="280">
        <v>94.1</v>
      </c>
      <c r="D6" s="281">
        <v>0.63700000000000001</v>
      </c>
      <c r="E6" s="282">
        <v>79.8</v>
      </c>
      <c r="F6" s="223">
        <v>102</v>
      </c>
      <c r="G6" s="223">
        <v>87</v>
      </c>
      <c r="H6" s="283">
        <v>24</v>
      </c>
      <c r="I6" s="283">
        <v>0</v>
      </c>
      <c r="J6" s="283">
        <v>24</v>
      </c>
      <c r="K6" s="283">
        <v>0</v>
      </c>
      <c r="L6" s="284">
        <v>0</v>
      </c>
      <c r="M6" s="284">
        <v>0</v>
      </c>
      <c r="N6" s="284">
        <v>0</v>
      </c>
      <c r="O6" s="284">
        <v>0</v>
      </c>
      <c r="P6" s="284">
        <v>0</v>
      </c>
      <c r="Q6" s="280">
        <v>0</v>
      </c>
      <c r="R6" s="285">
        <v>3459</v>
      </c>
      <c r="S6" s="286">
        <v>2919</v>
      </c>
      <c r="T6" s="286">
        <v>2919</v>
      </c>
      <c r="U6" s="286">
        <v>2853</v>
      </c>
      <c r="V6" s="287">
        <v>2955</v>
      </c>
      <c r="W6" s="283">
        <v>40</v>
      </c>
      <c r="X6" s="283">
        <v>0</v>
      </c>
      <c r="Y6" s="283">
        <v>43</v>
      </c>
      <c r="Z6" s="288">
        <v>0</v>
      </c>
      <c r="AA6" s="288">
        <v>57</v>
      </c>
      <c r="AB6" s="284">
        <v>0</v>
      </c>
      <c r="AC6" s="284">
        <f t="shared" si="0"/>
        <v>102</v>
      </c>
      <c r="AD6" s="222">
        <f t="shared" si="1"/>
        <v>-66</v>
      </c>
      <c r="AE6" s="223">
        <v>125</v>
      </c>
      <c r="AF6" s="224">
        <f t="shared" si="2"/>
        <v>0.98499999999999999</v>
      </c>
      <c r="AG6" s="225">
        <f t="shared" si="3"/>
        <v>144.125</v>
      </c>
      <c r="AH6" s="224">
        <f t="shared" si="4"/>
        <v>0.82480485689505634</v>
      </c>
      <c r="AI6" s="226">
        <f t="shared" si="5"/>
        <v>1</v>
      </c>
      <c r="AJ6" s="227">
        <f t="shared" si="6"/>
        <v>0.88571428571428568</v>
      </c>
      <c r="AK6" s="255">
        <v>8.4600000000000009</v>
      </c>
      <c r="AL6" s="256">
        <v>159.35</v>
      </c>
      <c r="AM6" s="282">
        <f t="shared" si="7"/>
        <v>1348.1010000000001</v>
      </c>
      <c r="AN6" s="255">
        <v>23.85</v>
      </c>
      <c r="AO6" s="323">
        <v>984.2</v>
      </c>
      <c r="AP6" s="290">
        <f t="shared" si="8"/>
        <v>23473.170000000002</v>
      </c>
      <c r="AQ6" s="228">
        <f t="shared" si="9"/>
        <v>8700.0599369085176</v>
      </c>
      <c r="AR6" s="229">
        <f t="shared" si="10"/>
        <v>121.625</v>
      </c>
      <c r="AS6" s="291"/>
      <c r="AT6" s="223">
        <v>0</v>
      </c>
      <c r="AU6" s="292">
        <v>0</v>
      </c>
      <c r="AV6" s="292">
        <v>0</v>
      </c>
      <c r="AW6" s="223">
        <v>0</v>
      </c>
      <c r="AX6" s="292">
        <v>16</v>
      </c>
      <c r="AY6" s="223">
        <v>1440</v>
      </c>
      <c r="AZ6" s="223">
        <v>0</v>
      </c>
      <c r="BA6" s="293"/>
      <c r="BB6" s="242">
        <v>957</v>
      </c>
      <c r="BC6" s="242">
        <v>1025</v>
      </c>
      <c r="BD6" s="242">
        <v>973</v>
      </c>
      <c r="BE6" s="242">
        <f t="shared" si="11"/>
        <v>68</v>
      </c>
      <c r="BF6" s="242">
        <f t="shared" si="12"/>
        <v>8700.0599369085176</v>
      </c>
      <c r="BG6" s="294">
        <f t="shared" si="13"/>
        <v>40.541666666666664</v>
      </c>
      <c r="BH6" s="295">
        <v>0</v>
      </c>
      <c r="BI6" s="296">
        <v>0</v>
      </c>
      <c r="BJ6" s="297">
        <v>24</v>
      </c>
      <c r="BK6" s="298">
        <v>24.76</v>
      </c>
      <c r="BL6" s="298">
        <v>20.54</v>
      </c>
      <c r="BM6" s="298">
        <v>26.17</v>
      </c>
      <c r="BN6" s="299">
        <v>980.6</v>
      </c>
      <c r="BO6" s="298">
        <v>50.12</v>
      </c>
      <c r="BP6" s="300">
        <v>0.94179999999999997</v>
      </c>
      <c r="BQ6" s="298">
        <v>94.96</v>
      </c>
      <c r="BR6" s="297">
        <v>87.36</v>
      </c>
      <c r="BS6" s="242">
        <v>12130</v>
      </c>
      <c r="BT6" s="242">
        <v>11596</v>
      </c>
      <c r="BU6" s="301">
        <f t="shared" si="14"/>
        <v>-534</v>
      </c>
      <c r="BV6" s="242">
        <f>BH6+BI6</f>
        <v>0</v>
      </c>
      <c r="BW6" s="302">
        <v>0</v>
      </c>
      <c r="BX6" s="302">
        <v>0</v>
      </c>
      <c r="BZ6" s="302">
        <v>24</v>
      </c>
      <c r="CA6" s="302">
        <v>6.1</v>
      </c>
      <c r="CC6" s="302">
        <v>2.1</v>
      </c>
      <c r="CD6" s="302">
        <v>4.7</v>
      </c>
      <c r="CE6" s="302">
        <v>2.1</v>
      </c>
      <c r="CF6" s="302">
        <v>0</v>
      </c>
    </row>
    <row r="7" spans="1:84">
      <c r="A7" s="525"/>
      <c r="B7" s="24">
        <v>43313</v>
      </c>
      <c r="C7" s="280">
        <v>93.2</v>
      </c>
      <c r="D7" s="281">
        <v>0.65100000000000002</v>
      </c>
      <c r="E7" s="282">
        <v>78.3</v>
      </c>
      <c r="F7" s="223">
        <v>100</v>
      </c>
      <c r="G7" s="223">
        <v>88</v>
      </c>
      <c r="H7" s="283">
        <v>24</v>
      </c>
      <c r="I7" s="283">
        <v>0</v>
      </c>
      <c r="J7" s="283">
        <v>24</v>
      </c>
      <c r="K7" s="283">
        <v>0</v>
      </c>
      <c r="L7" s="284">
        <v>0</v>
      </c>
      <c r="M7" s="284">
        <v>0</v>
      </c>
      <c r="N7" s="284">
        <v>0</v>
      </c>
      <c r="O7" s="284">
        <v>0</v>
      </c>
      <c r="P7" s="284">
        <v>0</v>
      </c>
      <c r="Q7" s="280">
        <v>0</v>
      </c>
      <c r="R7" s="285">
        <v>3467</v>
      </c>
      <c r="S7" s="286">
        <v>2944</v>
      </c>
      <c r="T7" s="286">
        <v>2944</v>
      </c>
      <c r="U7" s="286">
        <v>2873</v>
      </c>
      <c r="V7" s="287">
        <v>2975</v>
      </c>
      <c r="W7" s="283">
        <v>40</v>
      </c>
      <c r="X7" s="283">
        <v>0</v>
      </c>
      <c r="Y7" s="283">
        <v>43</v>
      </c>
      <c r="Z7" s="288">
        <v>0</v>
      </c>
      <c r="AA7" s="288">
        <v>57</v>
      </c>
      <c r="AB7" s="284">
        <v>0</v>
      </c>
      <c r="AC7" s="284">
        <f t="shared" si="0"/>
        <v>102</v>
      </c>
      <c r="AD7" s="222">
        <f t="shared" si="1"/>
        <v>-71</v>
      </c>
      <c r="AE7" s="223">
        <v>125</v>
      </c>
      <c r="AF7" s="224">
        <f t="shared" si="2"/>
        <v>0.9916666666666667</v>
      </c>
      <c r="AG7" s="225">
        <f t="shared" si="3"/>
        <v>144.45833333333334</v>
      </c>
      <c r="AH7" s="224">
        <f t="shared" si="4"/>
        <v>0.82867032016152298</v>
      </c>
      <c r="AI7" s="226">
        <f t="shared" si="5"/>
        <v>1</v>
      </c>
      <c r="AJ7" s="227">
        <f t="shared" si="6"/>
        <v>0.88571428571428568</v>
      </c>
      <c r="AK7" s="255">
        <v>9.8520000000000003</v>
      </c>
      <c r="AL7" s="256">
        <v>170.14</v>
      </c>
      <c r="AM7" s="282">
        <f t="shared" si="7"/>
        <v>1676.21928</v>
      </c>
      <c r="AN7" s="255">
        <v>23.538830000000001</v>
      </c>
      <c r="AO7" s="323">
        <v>990.57259855311418</v>
      </c>
      <c r="AP7" s="290">
        <f t="shared" si="8"/>
        <v>23316.920000000002</v>
      </c>
      <c r="AQ7" s="228">
        <f t="shared" si="9"/>
        <v>8699.3175356769934</v>
      </c>
      <c r="AR7" s="229">
        <f t="shared" si="10"/>
        <v>122.66666666666667</v>
      </c>
      <c r="AS7" s="291"/>
      <c r="AT7" s="223">
        <v>0</v>
      </c>
      <c r="AU7" s="292">
        <v>0</v>
      </c>
      <c r="AV7" s="292">
        <v>0</v>
      </c>
      <c r="AW7" s="223">
        <v>0</v>
      </c>
      <c r="AX7" s="292">
        <v>16</v>
      </c>
      <c r="AY7" s="223">
        <v>1440</v>
      </c>
      <c r="AZ7" s="223">
        <v>0</v>
      </c>
      <c r="BA7" s="293"/>
      <c r="BB7" s="242">
        <v>962</v>
      </c>
      <c r="BC7" s="242">
        <v>1038</v>
      </c>
      <c r="BD7" s="242">
        <v>975</v>
      </c>
      <c r="BE7" s="242">
        <f t="shared" si="11"/>
        <v>76</v>
      </c>
      <c r="BF7" s="242">
        <f t="shared" si="12"/>
        <v>8699.3175356769934</v>
      </c>
      <c r="BG7" s="294">
        <f t="shared" si="13"/>
        <v>40.625</v>
      </c>
      <c r="BH7" s="295">
        <v>0</v>
      </c>
      <c r="BI7" s="296">
        <v>0</v>
      </c>
      <c r="BJ7" s="297">
        <v>24</v>
      </c>
      <c r="BK7" s="298">
        <v>24.68</v>
      </c>
      <c r="BL7" s="298">
        <v>19.88</v>
      </c>
      <c r="BM7" s="298">
        <v>30.59</v>
      </c>
      <c r="BN7" s="299">
        <v>980.42</v>
      </c>
      <c r="BO7" s="298">
        <v>50.16</v>
      </c>
      <c r="BP7" s="300">
        <v>0.93479999999999996</v>
      </c>
      <c r="BQ7" s="298">
        <v>94.88</v>
      </c>
      <c r="BR7" s="297">
        <v>87.34</v>
      </c>
      <c r="BS7" s="242">
        <v>12031</v>
      </c>
      <c r="BT7" s="242">
        <v>11459</v>
      </c>
      <c r="BU7" s="301">
        <f t="shared" si="14"/>
        <v>-572</v>
      </c>
      <c r="BV7" s="242">
        <v>0</v>
      </c>
      <c r="BW7" s="302">
        <v>0</v>
      </c>
      <c r="BX7" s="302">
        <v>0</v>
      </c>
      <c r="BZ7" s="302">
        <v>24</v>
      </c>
      <c r="CA7" s="302">
        <v>6.48</v>
      </c>
      <c r="CC7" s="302">
        <v>2.1</v>
      </c>
      <c r="CD7" s="302">
        <v>4.7</v>
      </c>
      <c r="CE7" s="302">
        <v>2.1</v>
      </c>
      <c r="CF7" s="302">
        <v>0</v>
      </c>
    </row>
    <row r="8" spans="1:84">
      <c r="A8" s="525"/>
      <c r="B8" s="24">
        <v>43314</v>
      </c>
      <c r="C8" s="280">
        <v>93.1</v>
      </c>
      <c r="D8" s="281">
        <v>0.64100000000000001</v>
      </c>
      <c r="E8" s="282">
        <v>78</v>
      </c>
      <c r="F8" s="223">
        <v>100</v>
      </c>
      <c r="G8" s="223">
        <v>88</v>
      </c>
      <c r="H8" s="283">
        <v>24</v>
      </c>
      <c r="I8" s="283">
        <v>0</v>
      </c>
      <c r="J8" s="283">
        <v>24</v>
      </c>
      <c r="K8" s="283">
        <v>0</v>
      </c>
      <c r="L8" s="284">
        <v>0</v>
      </c>
      <c r="M8" s="284">
        <v>0</v>
      </c>
      <c r="N8" s="284">
        <v>0</v>
      </c>
      <c r="O8" s="284">
        <v>0</v>
      </c>
      <c r="P8" s="284">
        <v>0</v>
      </c>
      <c r="Q8" s="280">
        <v>0</v>
      </c>
      <c r="R8" s="285">
        <v>3464</v>
      </c>
      <c r="S8" s="286">
        <v>2955</v>
      </c>
      <c r="T8" s="286">
        <v>2955</v>
      </c>
      <c r="U8" s="286">
        <v>2882</v>
      </c>
      <c r="V8" s="287">
        <v>2986</v>
      </c>
      <c r="W8" s="283">
        <v>40</v>
      </c>
      <c r="X8" s="283">
        <v>0</v>
      </c>
      <c r="Y8" s="283">
        <v>43</v>
      </c>
      <c r="Z8" s="288">
        <v>0</v>
      </c>
      <c r="AA8" s="288">
        <v>57</v>
      </c>
      <c r="AB8" s="284">
        <v>0</v>
      </c>
      <c r="AC8" s="284">
        <f t="shared" si="0"/>
        <v>104</v>
      </c>
      <c r="AD8" s="222">
        <f t="shared" si="1"/>
        <v>-73</v>
      </c>
      <c r="AE8" s="223">
        <v>126</v>
      </c>
      <c r="AF8" s="224">
        <f t="shared" si="2"/>
        <v>0.98743386243386244</v>
      </c>
      <c r="AG8" s="225">
        <f t="shared" si="3"/>
        <v>144.33333333333334</v>
      </c>
      <c r="AH8" s="224">
        <f t="shared" si="4"/>
        <v>0.83198614318706698</v>
      </c>
      <c r="AI8" s="226">
        <f t="shared" si="5"/>
        <v>1</v>
      </c>
      <c r="AJ8" s="227">
        <f t="shared" si="6"/>
        <v>0.88571428571428568</v>
      </c>
      <c r="AK8" s="255">
        <v>9.8719999999999999</v>
      </c>
      <c r="AL8" s="256">
        <v>173.54</v>
      </c>
      <c r="AM8" s="282">
        <f t="shared" si="7"/>
        <v>1713.18688</v>
      </c>
      <c r="AN8" s="255">
        <v>23.651471000000001</v>
      </c>
      <c r="AO8" s="323">
        <v>989.09065740562187</v>
      </c>
      <c r="AP8" s="290">
        <f t="shared" si="8"/>
        <v>23393.449000000001</v>
      </c>
      <c r="AQ8" s="228">
        <f t="shared" si="9"/>
        <v>8711.5322276197094</v>
      </c>
      <c r="AR8" s="229">
        <f t="shared" si="10"/>
        <v>123.125</v>
      </c>
      <c r="AS8" s="291"/>
      <c r="AT8" s="223">
        <v>0</v>
      </c>
      <c r="AU8" s="292">
        <v>0</v>
      </c>
      <c r="AV8" s="292">
        <v>0</v>
      </c>
      <c r="AW8" s="223">
        <v>0</v>
      </c>
      <c r="AX8" s="292">
        <v>16</v>
      </c>
      <c r="AY8" s="223">
        <v>1440</v>
      </c>
      <c r="AZ8" s="223">
        <v>0</v>
      </c>
      <c r="BA8" s="293"/>
      <c r="BB8" s="242">
        <v>965</v>
      </c>
      <c r="BC8" s="242">
        <v>1041</v>
      </c>
      <c r="BD8" s="242">
        <v>980</v>
      </c>
      <c r="BE8" s="242">
        <f t="shared" si="11"/>
        <v>76</v>
      </c>
      <c r="BF8" s="242">
        <f t="shared" si="12"/>
        <v>8711.5322276197094</v>
      </c>
      <c r="BG8" s="294">
        <f t="shared" si="13"/>
        <v>40.833333333333336</v>
      </c>
      <c r="BH8" s="295">
        <v>0</v>
      </c>
      <c r="BI8" s="296">
        <v>0</v>
      </c>
      <c r="BJ8" s="297">
        <v>24</v>
      </c>
      <c r="BK8" s="298">
        <v>24.83</v>
      </c>
      <c r="BL8" s="298">
        <v>20.079999999999998</v>
      </c>
      <c r="BM8" s="298">
        <v>30.38</v>
      </c>
      <c r="BN8" s="299">
        <v>982.6</v>
      </c>
      <c r="BO8" s="298">
        <v>50.18</v>
      </c>
      <c r="BP8" s="300">
        <v>0.93279999999999996</v>
      </c>
      <c r="BQ8" s="298">
        <v>94.85</v>
      </c>
      <c r="BR8" s="297">
        <v>87.32</v>
      </c>
      <c r="BS8" s="242">
        <v>12074</v>
      </c>
      <c r="BT8" s="242">
        <v>11499</v>
      </c>
      <c r="BU8" s="301">
        <f t="shared" si="14"/>
        <v>-575</v>
      </c>
      <c r="BV8" s="242">
        <v>0</v>
      </c>
      <c r="BW8" s="302">
        <v>0</v>
      </c>
      <c r="BX8" s="302">
        <v>0</v>
      </c>
      <c r="BZ8" s="302">
        <v>24</v>
      </c>
      <c r="CA8" s="302">
        <v>6.65</v>
      </c>
      <c r="CC8" s="302">
        <v>2.1</v>
      </c>
      <c r="CD8" s="302">
        <v>4.5</v>
      </c>
      <c r="CE8" s="302">
        <v>2.1</v>
      </c>
      <c r="CF8" s="302">
        <v>0</v>
      </c>
    </row>
    <row r="9" spans="1:84">
      <c r="A9" s="525"/>
      <c r="B9" s="24">
        <v>43315</v>
      </c>
      <c r="C9" s="280">
        <v>92.1</v>
      </c>
      <c r="D9" s="281">
        <v>0.65700000000000003</v>
      </c>
      <c r="E9" s="282">
        <v>78.5</v>
      </c>
      <c r="F9" s="223">
        <v>99</v>
      </c>
      <c r="G9" s="223">
        <v>85</v>
      </c>
      <c r="H9" s="283">
        <v>24</v>
      </c>
      <c r="I9" s="283">
        <v>0</v>
      </c>
      <c r="J9" s="283">
        <v>24</v>
      </c>
      <c r="K9" s="283">
        <v>0</v>
      </c>
      <c r="L9" s="284">
        <v>0</v>
      </c>
      <c r="M9" s="284">
        <v>0</v>
      </c>
      <c r="N9" s="284">
        <v>0</v>
      </c>
      <c r="O9" s="284">
        <v>0</v>
      </c>
      <c r="P9" s="284">
        <v>0</v>
      </c>
      <c r="Q9" s="280">
        <v>0</v>
      </c>
      <c r="R9" s="285">
        <v>3479</v>
      </c>
      <c r="S9" s="286">
        <v>2956</v>
      </c>
      <c r="T9" s="286">
        <v>2956</v>
      </c>
      <c r="U9" s="286">
        <v>2886</v>
      </c>
      <c r="V9" s="287">
        <v>2986</v>
      </c>
      <c r="W9" s="283">
        <v>40</v>
      </c>
      <c r="X9" s="283">
        <v>0</v>
      </c>
      <c r="Y9" s="283">
        <v>43</v>
      </c>
      <c r="Z9" s="288">
        <v>0</v>
      </c>
      <c r="AA9" s="288">
        <v>57</v>
      </c>
      <c r="AB9" s="284">
        <v>0</v>
      </c>
      <c r="AC9" s="284">
        <f t="shared" si="0"/>
        <v>100</v>
      </c>
      <c r="AD9" s="222">
        <f t="shared" si="1"/>
        <v>-70</v>
      </c>
      <c r="AE9" s="223">
        <v>126</v>
      </c>
      <c r="AF9" s="224">
        <f t="shared" si="2"/>
        <v>0.98743386243386244</v>
      </c>
      <c r="AG9" s="225">
        <f t="shared" si="3"/>
        <v>144.95833333333334</v>
      </c>
      <c r="AH9" s="224">
        <f t="shared" si="4"/>
        <v>0.82954872089680942</v>
      </c>
      <c r="AI9" s="226">
        <f t="shared" si="5"/>
        <v>1</v>
      </c>
      <c r="AJ9" s="227">
        <f t="shared" si="6"/>
        <v>0.88571428571428568</v>
      </c>
      <c r="AK9" s="255">
        <v>9.859</v>
      </c>
      <c r="AL9" s="256">
        <v>175.22</v>
      </c>
      <c r="AM9" s="282">
        <f t="shared" si="7"/>
        <v>1727.49398</v>
      </c>
      <c r="AN9" s="255">
        <v>23.582600000000003</v>
      </c>
      <c r="AO9" s="323">
        <v>990.67405629574341</v>
      </c>
      <c r="AP9" s="290">
        <f t="shared" si="8"/>
        <v>23362.670000000002</v>
      </c>
      <c r="AQ9" s="228">
        <f t="shared" si="9"/>
        <v>8693.7505128205139</v>
      </c>
      <c r="AR9" s="229">
        <f t="shared" si="10"/>
        <v>123.16666666666667</v>
      </c>
      <c r="AS9" s="291"/>
      <c r="AT9" s="223">
        <v>0</v>
      </c>
      <c r="AU9" s="292">
        <v>0</v>
      </c>
      <c r="AV9" s="292">
        <v>0</v>
      </c>
      <c r="AW9" s="223">
        <v>0</v>
      </c>
      <c r="AX9" s="292">
        <v>16</v>
      </c>
      <c r="AY9" s="223">
        <v>1440</v>
      </c>
      <c r="AZ9" s="223">
        <v>0</v>
      </c>
      <c r="BA9" s="293"/>
      <c r="BB9" s="242">
        <v>966</v>
      </c>
      <c r="BC9" s="242">
        <v>1040</v>
      </c>
      <c r="BD9" s="242">
        <v>980</v>
      </c>
      <c r="BE9" s="242">
        <f t="shared" si="11"/>
        <v>74</v>
      </c>
      <c r="BF9" s="242">
        <f t="shared" si="12"/>
        <v>8693.7505128205139</v>
      </c>
      <c r="BG9" s="294">
        <f t="shared" si="13"/>
        <v>40.833333333333336</v>
      </c>
      <c r="BH9" s="295">
        <v>0</v>
      </c>
      <c r="BI9" s="296">
        <v>0</v>
      </c>
      <c r="BJ9" s="297">
        <v>24</v>
      </c>
      <c r="BK9" s="298">
        <v>24.77</v>
      </c>
      <c r="BL9" s="298">
        <v>20.48</v>
      </c>
      <c r="BM9" s="298">
        <v>30.4</v>
      </c>
      <c r="BN9" s="299">
        <v>983</v>
      </c>
      <c r="BO9" s="298">
        <v>50.16</v>
      </c>
      <c r="BP9" s="300">
        <v>0.93189999999999995</v>
      </c>
      <c r="BQ9" s="298">
        <v>94.89</v>
      </c>
      <c r="BR9" s="297">
        <v>87.31</v>
      </c>
      <c r="BS9" s="242">
        <v>12045</v>
      </c>
      <c r="BT9" s="242">
        <v>11649</v>
      </c>
      <c r="BU9" s="301">
        <f t="shared" si="14"/>
        <v>-396</v>
      </c>
      <c r="BV9" s="242">
        <v>0</v>
      </c>
      <c r="BW9" s="302">
        <v>0</v>
      </c>
      <c r="BX9" s="302">
        <v>0</v>
      </c>
      <c r="BZ9" s="302">
        <v>24</v>
      </c>
      <c r="CA9" s="302">
        <v>6.4</v>
      </c>
      <c r="CC9" s="302">
        <v>2.1</v>
      </c>
      <c r="CD9" s="302">
        <v>4.5</v>
      </c>
      <c r="CE9" s="302">
        <v>2.2000000000000002</v>
      </c>
      <c r="CF9" s="302">
        <v>0</v>
      </c>
    </row>
    <row r="10" spans="1:84">
      <c r="A10" s="525"/>
      <c r="B10" s="24">
        <v>43316</v>
      </c>
      <c r="C10" s="280">
        <v>92.1</v>
      </c>
      <c r="D10" s="281">
        <v>0.64800000000000002</v>
      </c>
      <c r="E10" s="282">
        <v>77.900000000000006</v>
      </c>
      <c r="F10" s="223">
        <v>98</v>
      </c>
      <c r="G10" s="223">
        <v>87</v>
      </c>
      <c r="H10" s="283">
        <v>24</v>
      </c>
      <c r="I10" s="283">
        <v>0</v>
      </c>
      <c r="J10" s="283">
        <v>24</v>
      </c>
      <c r="K10" s="283">
        <v>0</v>
      </c>
      <c r="L10" s="284">
        <v>0</v>
      </c>
      <c r="M10" s="284">
        <v>0</v>
      </c>
      <c r="N10" s="284">
        <v>0</v>
      </c>
      <c r="O10" s="284">
        <v>0</v>
      </c>
      <c r="P10" s="284">
        <v>0</v>
      </c>
      <c r="Q10" s="280">
        <v>0</v>
      </c>
      <c r="R10" s="285">
        <v>3476</v>
      </c>
      <c r="S10" s="286">
        <v>2957</v>
      </c>
      <c r="T10" s="286">
        <v>2957</v>
      </c>
      <c r="U10" s="286">
        <v>2887</v>
      </c>
      <c r="V10" s="287">
        <v>2985</v>
      </c>
      <c r="W10" s="283">
        <v>40</v>
      </c>
      <c r="X10" s="283">
        <v>0</v>
      </c>
      <c r="Y10" s="283">
        <v>43</v>
      </c>
      <c r="Z10" s="288">
        <v>0</v>
      </c>
      <c r="AA10" s="288">
        <v>57</v>
      </c>
      <c r="AB10" s="284">
        <v>0</v>
      </c>
      <c r="AC10" s="284">
        <f t="shared" si="0"/>
        <v>98</v>
      </c>
      <c r="AD10" s="222">
        <f t="shared" si="1"/>
        <v>-70</v>
      </c>
      <c r="AE10" s="223">
        <v>126</v>
      </c>
      <c r="AF10" s="224">
        <f t="shared" si="2"/>
        <v>0.98710317460317465</v>
      </c>
      <c r="AG10" s="225">
        <f t="shared" si="3"/>
        <v>144.83333333333334</v>
      </c>
      <c r="AH10" s="224">
        <f t="shared" si="4"/>
        <v>0.83055235903337166</v>
      </c>
      <c r="AI10" s="226">
        <f t="shared" si="5"/>
        <v>1</v>
      </c>
      <c r="AJ10" s="227">
        <f t="shared" si="6"/>
        <v>0.88571428571428568</v>
      </c>
      <c r="AK10" s="255">
        <v>9.9890000000000008</v>
      </c>
      <c r="AL10" s="256">
        <v>179.51</v>
      </c>
      <c r="AM10" s="282">
        <f t="shared" si="7"/>
        <v>1793.1253900000002</v>
      </c>
      <c r="AN10" s="255">
        <v>23.634100000000004</v>
      </c>
      <c r="AO10" s="323">
        <v>988.3346520493692</v>
      </c>
      <c r="AP10" s="290">
        <f t="shared" si="8"/>
        <v>23358.400000000001</v>
      </c>
      <c r="AQ10" s="228">
        <f t="shared" si="9"/>
        <v>8711.9935538621412</v>
      </c>
      <c r="AR10" s="229">
        <f t="shared" si="10"/>
        <v>123.20833333333333</v>
      </c>
      <c r="AS10" s="291"/>
      <c r="AT10" s="223">
        <v>0</v>
      </c>
      <c r="AU10" s="292">
        <v>0</v>
      </c>
      <c r="AV10" s="292">
        <v>0</v>
      </c>
      <c r="AW10" s="223">
        <v>0</v>
      </c>
      <c r="AX10" s="292">
        <v>16</v>
      </c>
      <c r="AY10" s="223">
        <v>1440</v>
      </c>
      <c r="AZ10" s="223">
        <v>0</v>
      </c>
      <c r="BA10" s="293"/>
      <c r="BB10" s="242">
        <v>965</v>
      </c>
      <c r="BC10" s="242">
        <v>1040</v>
      </c>
      <c r="BD10" s="242">
        <v>980</v>
      </c>
      <c r="BE10" s="242">
        <f t="shared" si="11"/>
        <v>75</v>
      </c>
      <c r="BF10" s="242">
        <f t="shared" si="12"/>
        <v>8711.9935538621412</v>
      </c>
      <c r="BG10" s="294">
        <f t="shared" si="13"/>
        <v>40.833333333333336</v>
      </c>
      <c r="BH10" s="295">
        <v>0</v>
      </c>
      <c r="BI10" s="296">
        <v>0</v>
      </c>
      <c r="BJ10" s="297">
        <v>24</v>
      </c>
      <c r="BK10" s="298">
        <v>24.91</v>
      </c>
      <c r="BL10" s="298">
        <v>20.61</v>
      </c>
      <c r="BM10" s="298">
        <v>30.64</v>
      </c>
      <c r="BN10" s="299">
        <v>982.17</v>
      </c>
      <c r="BO10" s="298">
        <v>50.13</v>
      </c>
      <c r="BP10" s="300">
        <v>0.93110000000000004</v>
      </c>
      <c r="BQ10" s="298">
        <v>94.98</v>
      </c>
      <c r="BR10" s="297">
        <v>87.31</v>
      </c>
      <c r="BS10" s="242">
        <v>12119</v>
      </c>
      <c r="BT10" s="242">
        <v>11722</v>
      </c>
      <c r="BU10" s="301">
        <f t="shared" si="14"/>
        <v>-397</v>
      </c>
      <c r="BV10" s="242">
        <v>0</v>
      </c>
      <c r="BW10" s="302">
        <v>0</v>
      </c>
      <c r="BX10" s="302">
        <v>0</v>
      </c>
      <c r="BZ10" s="302">
        <v>23.95</v>
      </c>
      <c r="CA10" s="302">
        <v>6.63</v>
      </c>
      <c r="CC10" s="302">
        <v>2.1</v>
      </c>
      <c r="CD10" s="302">
        <v>4.5999999999999996</v>
      </c>
      <c r="CE10" s="302">
        <v>2.1</v>
      </c>
      <c r="CF10" s="302">
        <v>0</v>
      </c>
    </row>
    <row r="11" spans="1:84">
      <c r="A11" s="525"/>
      <c r="B11" s="24">
        <v>43317</v>
      </c>
      <c r="C11" s="280">
        <v>93.2</v>
      </c>
      <c r="D11" s="281">
        <v>0.64700000000000002</v>
      </c>
      <c r="E11" s="282">
        <v>79.099999999999994</v>
      </c>
      <c r="F11" s="223">
        <v>100</v>
      </c>
      <c r="G11" s="223">
        <v>87</v>
      </c>
      <c r="H11" s="283">
        <v>24</v>
      </c>
      <c r="I11" s="283">
        <v>0</v>
      </c>
      <c r="J11" s="283">
        <v>24</v>
      </c>
      <c r="K11" s="283">
        <v>0</v>
      </c>
      <c r="L11" s="284">
        <v>0</v>
      </c>
      <c r="M11" s="284">
        <v>0</v>
      </c>
      <c r="N11" s="284">
        <v>0</v>
      </c>
      <c r="O11" s="284">
        <v>0</v>
      </c>
      <c r="P11" s="284">
        <v>0</v>
      </c>
      <c r="Q11" s="280">
        <v>0</v>
      </c>
      <c r="R11" s="285">
        <v>3467</v>
      </c>
      <c r="S11" s="286">
        <v>2944</v>
      </c>
      <c r="T11" s="286">
        <v>2944</v>
      </c>
      <c r="U11" s="286">
        <v>2873</v>
      </c>
      <c r="V11" s="287">
        <v>2970</v>
      </c>
      <c r="W11" s="283">
        <v>40</v>
      </c>
      <c r="X11" s="283">
        <v>0</v>
      </c>
      <c r="Y11" s="283">
        <v>43</v>
      </c>
      <c r="Z11" s="288">
        <v>0</v>
      </c>
      <c r="AA11" s="288">
        <v>57</v>
      </c>
      <c r="AB11" s="284">
        <v>0</v>
      </c>
      <c r="AC11" s="284">
        <f t="shared" si="0"/>
        <v>97</v>
      </c>
      <c r="AD11" s="222">
        <f t="shared" si="1"/>
        <v>-71</v>
      </c>
      <c r="AE11" s="223">
        <v>126</v>
      </c>
      <c r="AF11" s="224">
        <f t="shared" si="2"/>
        <v>0.9821428571428571</v>
      </c>
      <c r="AG11" s="225">
        <f>IF(R11&gt;0,R11/24,"no data")</f>
        <v>144.45833333333334</v>
      </c>
      <c r="AH11" s="224">
        <f>IF(U11&gt;0,(U11/R11),"no data")</f>
        <v>0.82867032016152298</v>
      </c>
      <c r="AI11" s="226">
        <f t="shared" si="5"/>
        <v>1</v>
      </c>
      <c r="AJ11" s="227">
        <f>IF(U11&gt;0,(1440-((X11*W11+AT11*AU11)+(Z11*Y11+AV11*AW11)+(AA11*AB11+AX11*AY11))/(W11+Y11+AA11))/1440,"no data")</f>
        <v>0.88571428571428568</v>
      </c>
      <c r="AK11" s="255">
        <v>9.98</v>
      </c>
      <c r="AL11" s="256">
        <v>181.1</v>
      </c>
      <c r="AM11" s="282">
        <f t="shared" si="7"/>
        <v>1807.3779999999999</v>
      </c>
      <c r="AN11" s="255">
        <v>23.479760000000002</v>
      </c>
      <c r="AO11" s="323">
        <v>988.17364402361864</v>
      </c>
      <c r="AP11" s="290">
        <f t="shared" si="8"/>
        <v>23202.080000000002</v>
      </c>
      <c r="AQ11" s="228">
        <f t="shared" si="9"/>
        <v>8704.9975635224509</v>
      </c>
      <c r="AR11" s="229">
        <f t="shared" si="10"/>
        <v>122.66666666666667</v>
      </c>
      <c r="AS11" s="291"/>
      <c r="AT11" s="223">
        <v>0</v>
      </c>
      <c r="AU11" s="292">
        <v>0</v>
      </c>
      <c r="AV11" s="292">
        <v>0</v>
      </c>
      <c r="AW11" s="223">
        <v>0</v>
      </c>
      <c r="AX11" s="292">
        <v>16</v>
      </c>
      <c r="AY11" s="223">
        <v>1440</v>
      </c>
      <c r="AZ11" s="223">
        <v>0</v>
      </c>
      <c r="BA11" s="293"/>
      <c r="BB11" s="242">
        <v>961</v>
      </c>
      <c r="BC11" s="242">
        <v>1033</v>
      </c>
      <c r="BD11" s="242">
        <v>976</v>
      </c>
      <c r="BE11" s="242">
        <f>BC11-BB11</f>
        <v>72</v>
      </c>
      <c r="BF11" s="242">
        <f>AQ11</f>
        <v>8704.9975635224509</v>
      </c>
      <c r="BG11" s="294">
        <f t="shared" si="13"/>
        <v>40.666666666666664</v>
      </c>
      <c r="BH11" s="295">
        <v>0</v>
      </c>
      <c r="BI11" s="296">
        <v>0</v>
      </c>
      <c r="BJ11" s="297">
        <v>24</v>
      </c>
      <c r="BK11" s="298">
        <v>24.8</v>
      </c>
      <c r="BL11" s="298">
        <v>20.54</v>
      </c>
      <c r="BM11" s="298">
        <v>30.47</v>
      </c>
      <c r="BN11" s="299">
        <v>981.29</v>
      </c>
      <c r="BO11" s="298">
        <v>50.09</v>
      </c>
      <c r="BP11" s="300">
        <v>0.93130000000000002</v>
      </c>
      <c r="BQ11" s="298">
        <v>95.22</v>
      </c>
      <c r="BR11" s="297">
        <v>87.33</v>
      </c>
      <c r="BS11" s="242">
        <v>12113</v>
      </c>
      <c r="BT11" s="242">
        <v>11762</v>
      </c>
      <c r="BU11" s="301">
        <f>BT11-BS11</f>
        <v>-351</v>
      </c>
      <c r="BV11" s="242">
        <v>0</v>
      </c>
      <c r="BW11" s="302">
        <v>0</v>
      </c>
      <c r="BX11" s="302">
        <v>0</v>
      </c>
      <c r="BZ11" s="302">
        <v>24</v>
      </c>
      <c r="CA11" s="302">
        <v>6.35</v>
      </c>
      <c r="CC11" s="302">
        <v>2.1</v>
      </c>
      <c r="CD11" s="302">
        <v>4.5999999999999996</v>
      </c>
      <c r="CE11" s="302">
        <v>2.1</v>
      </c>
      <c r="CF11" s="302">
        <v>0</v>
      </c>
    </row>
    <row r="12" spans="1:84" ht="15" customHeight="1">
      <c r="A12" s="451" t="s">
        <v>260</v>
      </c>
      <c r="B12" s="24">
        <v>43318</v>
      </c>
      <c r="C12" s="157">
        <v>92.4</v>
      </c>
      <c r="D12" s="158">
        <v>0.64500000000000002</v>
      </c>
      <c r="E12" s="157">
        <v>77.5</v>
      </c>
      <c r="F12" s="159">
        <v>100</v>
      </c>
      <c r="G12" s="159">
        <v>87</v>
      </c>
      <c r="H12" s="160">
        <v>24</v>
      </c>
      <c r="I12" s="160">
        <v>0</v>
      </c>
      <c r="J12" s="160">
        <v>24</v>
      </c>
      <c r="K12" s="160">
        <v>0</v>
      </c>
      <c r="L12" s="161">
        <v>0</v>
      </c>
      <c r="M12" s="161">
        <v>0</v>
      </c>
      <c r="N12" s="161">
        <v>0</v>
      </c>
      <c r="O12" s="161">
        <v>0</v>
      </c>
      <c r="P12" s="161">
        <v>0</v>
      </c>
      <c r="Q12" s="159">
        <v>0</v>
      </c>
      <c r="R12" s="159">
        <v>3476</v>
      </c>
      <c r="S12" s="159">
        <v>2949</v>
      </c>
      <c r="T12" s="159">
        <v>2949</v>
      </c>
      <c r="U12" s="159">
        <v>2877</v>
      </c>
      <c r="V12" s="160">
        <v>2977</v>
      </c>
      <c r="W12" s="160">
        <v>40</v>
      </c>
      <c r="X12" s="160">
        <v>0</v>
      </c>
      <c r="Y12" s="160">
        <v>43</v>
      </c>
      <c r="Z12" s="161">
        <v>0</v>
      </c>
      <c r="AA12" s="161">
        <v>57</v>
      </c>
      <c r="AB12" s="161">
        <v>0</v>
      </c>
      <c r="AC12" s="165">
        <f t="shared" ref="AC12:AC39" si="15">V12-U12+AZ12</f>
        <v>100</v>
      </c>
      <c r="AD12" s="166">
        <f t="shared" ref="AD12:AD39" si="16">U12-T12</f>
        <v>-72</v>
      </c>
      <c r="AE12" s="159">
        <v>126</v>
      </c>
      <c r="AF12" s="167">
        <f>IF(AE12&gt;0, V12/(AE12*24),"no data")</f>
        <v>0.98445767195767198</v>
      </c>
      <c r="AG12" s="168">
        <f t="shared" ref="AG12:AG39" si="17">IF(R12&gt;0,R12/24,"no data")</f>
        <v>144.83333333333334</v>
      </c>
      <c r="AH12" s="167">
        <f>IF(U12&gt;0,(U12/R12),"no data")</f>
        <v>0.82767548906789412</v>
      </c>
      <c r="AI12" s="169">
        <f t="shared" si="5"/>
        <v>1</v>
      </c>
      <c r="AJ12" s="170">
        <f t="shared" ref="AJ12:AJ39" si="18">IF(U12&gt;0,(1440-((X12*W12+AT12*AU12)+(Z12*Y12+AV12*AW12)+(AA12*AB12+AX12*AY12))/(W12+Y12+AA12))/1440,"no data")</f>
        <v>0.88571428571428568</v>
      </c>
      <c r="AK12" s="273">
        <v>9.9719999999999995</v>
      </c>
      <c r="AL12" s="274">
        <v>183.24</v>
      </c>
      <c r="AM12" s="275">
        <f t="shared" ref="AM12:AM39" si="19">AK12*AL12</f>
        <v>1827.26928</v>
      </c>
      <c r="AN12" s="273">
        <v>23.63391</v>
      </c>
      <c r="AO12" s="321">
        <v>985.52507816099842</v>
      </c>
      <c r="AP12" s="172">
        <f t="shared" ref="AP12:AP39" si="20">AN12*AO12</f>
        <v>23291.811000000002</v>
      </c>
      <c r="AQ12" s="202">
        <f t="shared" ref="AQ12:AQ39" si="21">IF(U12&gt;0,((((AK12*AL12)+(AN12*AO12))/(U12*1000))*1000000),"no data")</f>
        <v>8730.9976642335769</v>
      </c>
      <c r="AR12" s="340">
        <f t="shared" ref="AR12:AR39" si="22">IF(S12&gt;0,S12/24, "no data")</f>
        <v>122.875</v>
      </c>
      <c r="AS12" s="13"/>
      <c r="AT12" s="173">
        <v>0</v>
      </c>
      <c r="AU12" s="159">
        <v>0</v>
      </c>
      <c r="AV12" s="174">
        <v>0</v>
      </c>
      <c r="AW12" s="174">
        <v>0</v>
      </c>
      <c r="AX12" s="159">
        <v>16</v>
      </c>
      <c r="AY12" s="174">
        <v>1440</v>
      </c>
      <c r="AZ12" s="159">
        <v>0</v>
      </c>
      <c r="BA12" s="4"/>
      <c r="BB12" s="159">
        <v>962</v>
      </c>
      <c r="BC12" s="159">
        <v>1036</v>
      </c>
      <c r="BD12" s="159">
        <v>979</v>
      </c>
      <c r="BE12" s="175">
        <f t="shared" ref="BE12:BE39" si="23">BC12-BB12</f>
        <v>74</v>
      </c>
      <c r="BF12" s="176">
        <f t="shared" ref="BF12:BF41" si="24">AQ12</f>
        <v>8730.9976642335769</v>
      </c>
      <c r="BG12" s="177">
        <f t="shared" ref="BG12:BG39" si="25">BD12/24</f>
        <v>40.791666666666664</v>
      </c>
      <c r="BH12" s="178">
        <v>0</v>
      </c>
      <c r="BI12" s="156">
        <v>0</v>
      </c>
      <c r="BJ12" s="177">
        <v>24</v>
      </c>
      <c r="BK12" s="175">
        <v>24.98</v>
      </c>
      <c r="BL12" s="175">
        <v>20.81</v>
      </c>
      <c r="BM12" s="175">
        <v>30.35</v>
      </c>
      <c r="BN12" s="175">
        <v>982.88</v>
      </c>
      <c r="BO12" s="177">
        <v>50.09</v>
      </c>
      <c r="BP12" s="180">
        <v>0.93100000000000005</v>
      </c>
      <c r="BQ12" s="186">
        <v>94.9</v>
      </c>
      <c r="BR12" s="186">
        <v>87.29</v>
      </c>
      <c r="BS12" s="179">
        <v>12190</v>
      </c>
      <c r="BT12" s="179">
        <v>11840</v>
      </c>
      <c r="BU12" s="51">
        <f t="shared" ref="BU12:BU39" si="26">BT12-BS12</f>
        <v>-350</v>
      </c>
      <c r="BV12" s="353">
        <f>BH12+BI12</f>
        <v>0</v>
      </c>
      <c r="BW12" s="177">
        <v>0</v>
      </c>
      <c r="BX12" s="177">
        <v>0</v>
      </c>
      <c r="BZ12" s="177">
        <v>24</v>
      </c>
      <c r="CA12" s="177">
        <v>6.47</v>
      </c>
      <c r="CC12" s="177">
        <v>2.1</v>
      </c>
      <c r="CD12" s="177">
        <v>4.5999999999999996</v>
      </c>
      <c r="CE12" s="177">
        <v>2</v>
      </c>
      <c r="CF12" s="177">
        <v>0</v>
      </c>
    </row>
    <row r="13" spans="1:84">
      <c r="A13" s="452"/>
      <c r="B13" s="24">
        <v>43319</v>
      </c>
      <c r="C13" s="157">
        <v>93.1</v>
      </c>
      <c r="D13" s="197">
        <v>0.62</v>
      </c>
      <c r="E13" s="157">
        <v>78.23</v>
      </c>
      <c r="F13" s="159">
        <v>102</v>
      </c>
      <c r="G13" s="159">
        <v>86</v>
      </c>
      <c r="H13" s="160">
        <v>24</v>
      </c>
      <c r="I13" s="160">
        <v>0</v>
      </c>
      <c r="J13" s="160">
        <v>24</v>
      </c>
      <c r="K13" s="160">
        <v>0</v>
      </c>
      <c r="L13" s="161">
        <v>0</v>
      </c>
      <c r="M13" s="161">
        <v>0</v>
      </c>
      <c r="N13" s="161">
        <v>0</v>
      </c>
      <c r="O13" s="161">
        <v>0</v>
      </c>
      <c r="P13" s="161">
        <v>0</v>
      </c>
      <c r="Q13" s="159">
        <v>0</v>
      </c>
      <c r="R13" s="159">
        <v>3465</v>
      </c>
      <c r="S13" s="159">
        <v>2949</v>
      </c>
      <c r="T13" s="159">
        <v>2949</v>
      </c>
      <c r="U13" s="159">
        <v>2879</v>
      </c>
      <c r="V13" s="160">
        <v>2977</v>
      </c>
      <c r="W13" s="160">
        <v>40</v>
      </c>
      <c r="X13" s="160">
        <v>0</v>
      </c>
      <c r="Y13" s="160">
        <v>43</v>
      </c>
      <c r="Z13" s="161">
        <v>0</v>
      </c>
      <c r="AA13" s="161">
        <v>57</v>
      </c>
      <c r="AB13" s="161">
        <v>0</v>
      </c>
      <c r="AC13" s="165">
        <f t="shared" si="15"/>
        <v>98</v>
      </c>
      <c r="AD13" s="166">
        <f t="shared" si="16"/>
        <v>-70</v>
      </c>
      <c r="AE13" s="159">
        <v>126</v>
      </c>
      <c r="AF13" s="167">
        <f t="shared" ref="AF13:AF39" si="27">IF(AE13&gt;0, V13/(AE13*24),"no data")</f>
        <v>0.98445767195767198</v>
      </c>
      <c r="AG13" s="168">
        <f t="shared" si="17"/>
        <v>144.375</v>
      </c>
      <c r="AH13" s="167">
        <f t="shared" ref="AH13:AH39" si="28">IF(U13&gt;0,(U13/R13),"no data")</f>
        <v>0.83088023088023089</v>
      </c>
      <c r="AI13" s="169">
        <f t="shared" si="5"/>
        <v>1</v>
      </c>
      <c r="AJ13" s="170">
        <f t="shared" si="18"/>
        <v>0.88571428571428568</v>
      </c>
      <c r="AK13" s="273">
        <v>9.9990000000000006</v>
      </c>
      <c r="AL13" s="274">
        <v>184.94</v>
      </c>
      <c r="AM13" s="275">
        <f t="shared" si="19"/>
        <v>1849.21506</v>
      </c>
      <c r="AN13" s="273">
        <v>23.704550999999999</v>
      </c>
      <c r="AO13" s="321">
        <v>980.412157986034</v>
      </c>
      <c r="AP13" s="172">
        <f t="shared" si="20"/>
        <v>23240.23</v>
      </c>
      <c r="AQ13" s="202">
        <f t="shared" si="21"/>
        <v>8714.6387843001048</v>
      </c>
      <c r="AR13" s="340">
        <f t="shared" si="22"/>
        <v>122.875</v>
      </c>
      <c r="AS13" s="13"/>
      <c r="AT13" s="173">
        <v>0</v>
      </c>
      <c r="AU13" s="159">
        <v>0</v>
      </c>
      <c r="AV13" s="174">
        <v>0</v>
      </c>
      <c r="AW13" s="174">
        <v>0</v>
      </c>
      <c r="AX13" s="159">
        <v>16</v>
      </c>
      <c r="AY13" s="174">
        <v>1440</v>
      </c>
      <c r="AZ13" s="159">
        <v>0</v>
      </c>
      <c r="BA13" s="332"/>
      <c r="BB13" s="159">
        <v>962</v>
      </c>
      <c r="BC13" s="159">
        <v>1036</v>
      </c>
      <c r="BD13" s="159">
        <v>979</v>
      </c>
      <c r="BE13" s="175">
        <f t="shared" si="23"/>
        <v>74</v>
      </c>
      <c r="BF13" s="176">
        <f t="shared" si="24"/>
        <v>8714.6387843001048</v>
      </c>
      <c r="BG13" s="177">
        <f t="shared" si="25"/>
        <v>40.791666666666664</v>
      </c>
      <c r="BH13" s="178">
        <v>0</v>
      </c>
      <c r="BI13" s="156">
        <v>0</v>
      </c>
      <c r="BJ13" s="177">
        <v>24</v>
      </c>
      <c r="BK13" s="175">
        <v>25.14</v>
      </c>
      <c r="BL13" s="175">
        <v>20.97</v>
      </c>
      <c r="BM13" s="175">
        <v>30.25</v>
      </c>
      <c r="BN13" s="179">
        <v>984.9</v>
      </c>
      <c r="BO13" s="186">
        <v>50.1</v>
      </c>
      <c r="BP13" s="180">
        <v>0.93049999999999999</v>
      </c>
      <c r="BQ13" s="177">
        <v>94.82</v>
      </c>
      <c r="BR13" s="177">
        <v>87.3</v>
      </c>
      <c r="BS13" s="175">
        <v>12252</v>
      </c>
      <c r="BT13" s="175">
        <v>11897</v>
      </c>
      <c r="BU13" s="51">
        <f t="shared" si="26"/>
        <v>-355</v>
      </c>
      <c r="BV13" s="353">
        <f t="shared" ref="BV13:BV39" si="29">BH13+BI13</f>
        <v>0</v>
      </c>
      <c r="BW13" s="177">
        <v>0</v>
      </c>
      <c r="BX13" s="177">
        <v>0</v>
      </c>
      <c r="BZ13" s="177">
        <v>24</v>
      </c>
      <c r="CA13" s="177">
        <v>7.25</v>
      </c>
      <c r="CC13" s="177">
        <v>2.2000000000000002</v>
      </c>
      <c r="CD13" s="177">
        <v>4.8</v>
      </c>
      <c r="CE13" s="177">
        <v>2.1</v>
      </c>
      <c r="CF13" s="177">
        <v>0</v>
      </c>
    </row>
    <row r="14" spans="1:84">
      <c r="A14" s="452"/>
      <c r="B14" s="24">
        <v>43320</v>
      </c>
      <c r="C14" s="157">
        <v>90.16</v>
      </c>
      <c r="D14" s="197">
        <v>0.68789999999999996</v>
      </c>
      <c r="E14" s="157">
        <v>78.930000000000007</v>
      </c>
      <c r="F14" s="159">
        <v>97</v>
      </c>
      <c r="G14" s="159">
        <v>83</v>
      </c>
      <c r="H14" s="160">
        <v>24</v>
      </c>
      <c r="I14" s="160">
        <v>0</v>
      </c>
      <c r="J14" s="160">
        <v>24</v>
      </c>
      <c r="K14" s="160">
        <v>0</v>
      </c>
      <c r="L14" s="161">
        <v>0</v>
      </c>
      <c r="M14" s="161">
        <v>0</v>
      </c>
      <c r="N14" s="161">
        <v>0</v>
      </c>
      <c r="O14" s="161">
        <v>0</v>
      </c>
      <c r="P14" s="161">
        <v>0</v>
      </c>
      <c r="Q14" s="159">
        <v>0</v>
      </c>
      <c r="R14" s="159">
        <v>3496</v>
      </c>
      <c r="S14" s="159">
        <v>2950</v>
      </c>
      <c r="T14" s="159">
        <v>2950</v>
      </c>
      <c r="U14" s="159">
        <v>2875</v>
      </c>
      <c r="V14" s="160">
        <v>2974</v>
      </c>
      <c r="W14" s="160">
        <v>40</v>
      </c>
      <c r="X14" s="160">
        <v>0</v>
      </c>
      <c r="Y14" s="160">
        <v>43</v>
      </c>
      <c r="Z14" s="161">
        <v>0</v>
      </c>
      <c r="AA14" s="161">
        <v>57</v>
      </c>
      <c r="AB14" s="161">
        <v>0</v>
      </c>
      <c r="AC14" s="165">
        <f t="shared" si="15"/>
        <v>99</v>
      </c>
      <c r="AD14" s="166">
        <f t="shared" si="16"/>
        <v>-75</v>
      </c>
      <c r="AE14" s="159">
        <v>126</v>
      </c>
      <c r="AF14" s="167">
        <f t="shared" si="27"/>
        <v>0.98346560846560849</v>
      </c>
      <c r="AG14" s="168">
        <f t="shared" si="17"/>
        <v>145.66666666666666</v>
      </c>
      <c r="AH14" s="167">
        <f t="shared" si="28"/>
        <v>0.82236842105263153</v>
      </c>
      <c r="AI14" s="169">
        <f t="shared" si="5"/>
        <v>1</v>
      </c>
      <c r="AJ14" s="170">
        <f t="shared" si="18"/>
        <v>0.88571428571428568</v>
      </c>
      <c r="AK14" s="273">
        <v>9.9420000000000002</v>
      </c>
      <c r="AL14" s="274">
        <v>187.68</v>
      </c>
      <c r="AM14" s="275">
        <f t="shared" si="19"/>
        <v>1865.9145600000002</v>
      </c>
      <c r="AN14" s="273">
        <v>23.532689000000001</v>
      </c>
      <c r="AO14" s="321">
        <v>987.01002677594556</v>
      </c>
      <c r="AP14" s="172">
        <f t="shared" si="20"/>
        <v>23227</v>
      </c>
      <c r="AQ14" s="202">
        <f t="shared" si="21"/>
        <v>8727.9702817391299</v>
      </c>
      <c r="AR14" s="340">
        <f t="shared" si="22"/>
        <v>122.91666666666667</v>
      </c>
      <c r="AS14" s="13"/>
      <c r="AT14" s="182">
        <v>0</v>
      </c>
      <c r="AU14" s="159">
        <v>0</v>
      </c>
      <c r="AV14" s="174">
        <v>0</v>
      </c>
      <c r="AW14" s="174">
        <v>0</v>
      </c>
      <c r="AX14" s="159">
        <v>16</v>
      </c>
      <c r="AY14" s="174">
        <v>1440</v>
      </c>
      <c r="AZ14" s="159">
        <v>0</v>
      </c>
      <c r="BA14" s="332"/>
      <c r="BB14" s="159">
        <v>963</v>
      </c>
      <c r="BC14" s="159">
        <v>1034</v>
      </c>
      <c r="BD14" s="159">
        <v>977</v>
      </c>
      <c r="BE14" s="175">
        <f t="shared" si="23"/>
        <v>71</v>
      </c>
      <c r="BF14" s="176">
        <f t="shared" si="24"/>
        <v>8727.9702817391299</v>
      </c>
      <c r="BG14" s="177">
        <f t="shared" si="25"/>
        <v>40.708333333333336</v>
      </c>
      <c r="BH14" s="178">
        <v>0</v>
      </c>
      <c r="BI14" s="156">
        <v>0</v>
      </c>
      <c r="BJ14" s="177">
        <v>24</v>
      </c>
      <c r="BK14" s="175">
        <v>25.04</v>
      </c>
      <c r="BL14" s="175">
        <v>20.94</v>
      </c>
      <c r="BM14" s="175">
        <v>30.19</v>
      </c>
      <c r="BN14" s="179">
        <v>987.25</v>
      </c>
      <c r="BO14" s="179">
        <v>50.07</v>
      </c>
      <c r="BP14" s="180">
        <v>0.92989999999999995</v>
      </c>
      <c r="BQ14" s="177">
        <v>95.07</v>
      </c>
      <c r="BR14" s="177">
        <v>87.34</v>
      </c>
      <c r="BS14" s="175">
        <v>12200</v>
      </c>
      <c r="BT14" s="175">
        <v>11890</v>
      </c>
      <c r="BU14" s="51">
        <f t="shared" si="26"/>
        <v>-310</v>
      </c>
      <c r="BV14" s="353">
        <f t="shared" si="29"/>
        <v>0</v>
      </c>
      <c r="BW14" s="177">
        <v>0</v>
      </c>
      <c r="BX14" s="177">
        <v>0</v>
      </c>
      <c r="BZ14" s="177">
        <v>24</v>
      </c>
      <c r="CA14" s="177">
        <v>6.08</v>
      </c>
      <c r="CC14" s="177">
        <v>2.2000000000000002</v>
      </c>
      <c r="CD14" s="177">
        <v>4.3499999999999996</v>
      </c>
      <c r="CE14" s="177">
        <v>2.1</v>
      </c>
      <c r="CF14" s="177">
        <v>0</v>
      </c>
    </row>
    <row r="15" spans="1:84">
      <c r="A15" s="452"/>
      <c r="B15" s="24">
        <v>43321</v>
      </c>
      <c r="C15" s="157">
        <v>88.5</v>
      </c>
      <c r="D15" s="197">
        <v>0.753</v>
      </c>
      <c r="E15" s="157">
        <v>81.760000000000005</v>
      </c>
      <c r="F15" s="183">
        <v>95</v>
      </c>
      <c r="G15" s="183">
        <v>86</v>
      </c>
      <c r="H15" s="160">
        <v>24</v>
      </c>
      <c r="I15" s="160">
        <v>0</v>
      </c>
      <c r="J15" s="160">
        <v>24</v>
      </c>
      <c r="K15" s="160">
        <v>0</v>
      </c>
      <c r="L15" s="161">
        <v>0</v>
      </c>
      <c r="M15" s="161">
        <v>0</v>
      </c>
      <c r="N15" s="161">
        <v>0</v>
      </c>
      <c r="O15" s="161">
        <v>0</v>
      </c>
      <c r="P15" s="161">
        <v>0</v>
      </c>
      <c r="Q15" s="159">
        <v>0</v>
      </c>
      <c r="R15" s="159">
        <v>3513</v>
      </c>
      <c r="S15" s="159">
        <v>2946</v>
      </c>
      <c r="T15" s="159">
        <v>2946</v>
      </c>
      <c r="U15" s="159">
        <v>2876</v>
      </c>
      <c r="V15" s="160">
        <v>2975</v>
      </c>
      <c r="W15" s="160">
        <v>40</v>
      </c>
      <c r="X15" s="160">
        <v>0</v>
      </c>
      <c r="Y15" s="160">
        <v>43</v>
      </c>
      <c r="Z15" s="161">
        <v>0</v>
      </c>
      <c r="AA15" s="161">
        <v>57</v>
      </c>
      <c r="AB15" s="161">
        <v>0</v>
      </c>
      <c r="AC15" s="165">
        <f t="shared" si="15"/>
        <v>99</v>
      </c>
      <c r="AD15" s="166">
        <f t="shared" si="16"/>
        <v>-70</v>
      </c>
      <c r="AE15" s="159">
        <v>126</v>
      </c>
      <c r="AF15" s="167">
        <f t="shared" si="27"/>
        <v>0.98379629629629628</v>
      </c>
      <c r="AG15" s="168">
        <f t="shared" si="17"/>
        <v>146.375</v>
      </c>
      <c r="AH15" s="167">
        <f t="shared" si="28"/>
        <v>0.81867349843438653</v>
      </c>
      <c r="AI15" s="169">
        <f t="shared" si="5"/>
        <v>1</v>
      </c>
      <c r="AJ15" s="170">
        <f t="shared" si="18"/>
        <v>0.88571428571428568</v>
      </c>
      <c r="AK15" s="273">
        <v>9.9710000000000001</v>
      </c>
      <c r="AL15" s="274">
        <v>187.17</v>
      </c>
      <c r="AM15" s="275">
        <f t="shared" si="19"/>
        <v>1866.27207</v>
      </c>
      <c r="AN15" s="273">
        <v>23.590820000000001</v>
      </c>
      <c r="AO15" s="321">
        <v>985.42526287767873</v>
      </c>
      <c r="AP15" s="172">
        <f t="shared" si="20"/>
        <v>23246.99</v>
      </c>
      <c r="AQ15" s="202">
        <f t="shared" si="21"/>
        <v>8732.0104554937425</v>
      </c>
      <c r="AR15" s="340">
        <f t="shared" si="22"/>
        <v>122.75</v>
      </c>
      <c r="AS15" s="13"/>
      <c r="AT15" s="159">
        <v>0</v>
      </c>
      <c r="AU15" s="174">
        <v>0</v>
      </c>
      <c r="AV15" s="174">
        <v>0</v>
      </c>
      <c r="AW15" s="159">
        <v>0</v>
      </c>
      <c r="AX15" s="174">
        <v>16</v>
      </c>
      <c r="AY15" s="159">
        <v>1440</v>
      </c>
      <c r="AZ15" s="159">
        <v>0</v>
      </c>
      <c r="BA15" s="332"/>
      <c r="BB15" s="175">
        <v>962</v>
      </c>
      <c r="BC15" s="175">
        <v>1036</v>
      </c>
      <c r="BD15" s="184">
        <v>977</v>
      </c>
      <c r="BE15" s="175">
        <f t="shared" si="23"/>
        <v>74</v>
      </c>
      <c r="BF15" s="177">
        <f t="shared" si="24"/>
        <v>8732.0104554937425</v>
      </c>
      <c r="BG15" s="177">
        <f t="shared" si="25"/>
        <v>40.708333333333336</v>
      </c>
      <c r="BH15" s="178">
        <v>0</v>
      </c>
      <c r="BI15" s="156">
        <v>0</v>
      </c>
      <c r="BJ15" s="177">
        <v>24</v>
      </c>
      <c r="BK15" s="175">
        <v>25.07</v>
      </c>
      <c r="BL15" s="175">
        <v>21.09</v>
      </c>
      <c r="BM15" s="175">
        <v>30.25</v>
      </c>
      <c r="BN15" s="179">
        <v>989.9</v>
      </c>
      <c r="BO15" s="179">
        <v>50.14</v>
      </c>
      <c r="BP15" s="185">
        <v>0.92869999999999997</v>
      </c>
      <c r="BQ15" s="177">
        <v>95.29</v>
      </c>
      <c r="BR15" s="177">
        <v>87.39</v>
      </c>
      <c r="BS15" s="175">
        <v>12235</v>
      </c>
      <c r="BT15" s="175">
        <v>11940</v>
      </c>
      <c r="BU15" s="51">
        <f t="shared" si="26"/>
        <v>-295</v>
      </c>
      <c r="BV15" s="353">
        <f t="shared" si="29"/>
        <v>0</v>
      </c>
      <c r="BW15" s="177">
        <v>0</v>
      </c>
      <c r="BX15" s="177">
        <v>0</v>
      </c>
      <c r="BZ15" s="177">
        <v>24</v>
      </c>
      <c r="CA15" s="177">
        <v>5.2</v>
      </c>
      <c r="CC15" s="177">
        <v>2.1</v>
      </c>
      <c r="CD15" s="177">
        <v>4.5</v>
      </c>
      <c r="CE15" s="177">
        <v>2.1</v>
      </c>
      <c r="CF15" s="177">
        <v>0</v>
      </c>
    </row>
    <row r="16" spans="1:84">
      <c r="A16" s="452"/>
      <c r="B16" s="24">
        <v>43322</v>
      </c>
      <c r="C16" s="157">
        <v>93</v>
      </c>
      <c r="D16" s="197">
        <v>0.68</v>
      </c>
      <c r="E16" s="157">
        <v>81</v>
      </c>
      <c r="F16" s="159">
        <v>101</v>
      </c>
      <c r="G16" s="159">
        <v>85</v>
      </c>
      <c r="H16" s="159">
        <v>24</v>
      </c>
      <c r="I16" s="159">
        <v>0</v>
      </c>
      <c r="J16" s="159">
        <v>23</v>
      </c>
      <c r="K16" s="159">
        <v>35</v>
      </c>
      <c r="L16" s="161">
        <v>0</v>
      </c>
      <c r="M16" s="161">
        <v>0</v>
      </c>
      <c r="N16" s="161">
        <v>0</v>
      </c>
      <c r="O16" s="161">
        <v>0</v>
      </c>
      <c r="P16" s="161">
        <v>0</v>
      </c>
      <c r="Q16" s="159">
        <v>0</v>
      </c>
      <c r="R16" s="159">
        <v>3466</v>
      </c>
      <c r="S16" s="159">
        <v>2926</v>
      </c>
      <c r="T16" s="159">
        <v>2926</v>
      </c>
      <c r="U16" s="159">
        <v>2852</v>
      </c>
      <c r="V16" s="159">
        <v>2949</v>
      </c>
      <c r="W16" s="159">
        <v>40</v>
      </c>
      <c r="X16" s="159">
        <v>0</v>
      </c>
      <c r="Y16" s="159">
        <v>43</v>
      </c>
      <c r="Z16" s="161">
        <v>0</v>
      </c>
      <c r="AA16" s="161">
        <v>57</v>
      </c>
      <c r="AB16" s="161">
        <v>0</v>
      </c>
      <c r="AC16" s="165">
        <f t="shared" si="15"/>
        <v>97</v>
      </c>
      <c r="AD16" s="166">
        <f t="shared" si="16"/>
        <v>-74</v>
      </c>
      <c r="AE16" s="159">
        <v>125</v>
      </c>
      <c r="AF16" s="167">
        <f t="shared" si="27"/>
        <v>0.98299999999999998</v>
      </c>
      <c r="AG16" s="168">
        <f t="shared" si="17"/>
        <v>144.41666666666666</v>
      </c>
      <c r="AH16" s="167">
        <f t="shared" si="28"/>
        <v>0.82285054818234271</v>
      </c>
      <c r="AI16" s="169">
        <f>IF(U16&gt;0,(1440-((W16*X16)+(Y16*Z16)+(AA16*AB16))/(W16+Y16+AA16))/1440,"no data")</f>
        <v>1</v>
      </c>
      <c r="AJ16" s="170">
        <f t="shared" si="18"/>
        <v>0.87695932539682542</v>
      </c>
      <c r="AK16" s="306">
        <v>9.9019999999999992</v>
      </c>
      <c r="AL16" s="307">
        <v>191.13</v>
      </c>
      <c r="AM16" s="171">
        <f t="shared" si="19"/>
        <v>1892.5692599999998</v>
      </c>
      <c r="AN16" s="306">
        <v>23.447050000000001</v>
      </c>
      <c r="AO16" s="331">
        <v>984.68549348425495</v>
      </c>
      <c r="AP16" s="172">
        <f t="shared" si="20"/>
        <v>23087.97</v>
      </c>
      <c r="AQ16" s="202">
        <f t="shared" si="21"/>
        <v>8758.9548597475459</v>
      </c>
      <c r="AR16" s="340">
        <f t="shared" si="22"/>
        <v>121.91666666666667</v>
      </c>
      <c r="AS16" s="13"/>
      <c r="AT16" s="159">
        <v>0</v>
      </c>
      <c r="AU16" s="159">
        <v>0</v>
      </c>
      <c r="AV16" s="159">
        <v>13</v>
      </c>
      <c r="AW16" s="159">
        <v>25</v>
      </c>
      <c r="AX16" s="159">
        <v>17</v>
      </c>
      <c r="AY16" s="159">
        <v>1440</v>
      </c>
      <c r="AZ16" s="159">
        <v>0</v>
      </c>
      <c r="BA16" s="332"/>
      <c r="BB16" s="175">
        <v>955</v>
      </c>
      <c r="BC16" s="175">
        <v>1023</v>
      </c>
      <c r="BD16" s="175">
        <v>971</v>
      </c>
      <c r="BE16" s="175">
        <f t="shared" si="23"/>
        <v>68</v>
      </c>
      <c r="BF16" s="177">
        <f t="shared" si="24"/>
        <v>8758.9548597475459</v>
      </c>
      <c r="BG16" s="177">
        <f t="shared" si="25"/>
        <v>40.458333333333336</v>
      </c>
      <c r="BH16" s="178">
        <v>0</v>
      </c>
      <c r="BI16" s="156">
        <v>0</v>
      </c>
      <c r="BJ16" s="177">
        <v>24</v>
      </c>
      <c r="BK16" s="175">
        <v>24.95</v>
      </c>
      <c r="BL16" s="175">
        <v>20.93</v>
      </c>
      <c r="BM16" s="175">
        <v>29.95</v>
      </c>
      <c r="BN16" s="179">
        <v>984.2</v>
      </c>
      <c r="BO16" s="179">
        <v>50.1</v>
      </c>
      <c r="BP16" s="185">
        <v>0.93</v>
      </c>
      <c r="BQ16" s="177">
        <v>95.17</v>
      </c>
      <c r="BR16" s="177">
        <v>87.43</v>
      </c>
      <c r="BS16" s="175">
        <v>12250</v>
      </c>
      <c r="BT16" s="175">
        <v>12001</v>
      </c>
      <c r="BU16" s="51">
        <f t="shared" si="26"/>
        <v>-249</v>
      </c>
      <c r="BV16" s="353">
        <f t="shared" si="29"/>
        <v>0</v>
      </c>
      <c r="BW16" s="177">
        <v>0</v>
      </c>
      <c r="BX16" s="177">
        <v>0</v>
      </c>
      <c r="BZ16" s="177">
        <v>24</v>
      </c>
      <c r="CA16" s="177">
        <v>6.6</v>
      </c>
      <c r="CC16" s="177">
        <v>2.1</v>
      </c>
      <c r="CD16" s="177">
        <v>4.5</v>
      </c>
      <c r="CE16" s="177">
        <v>2.1</v>
      </c>
      <c r="CF16" s="177">
        <v>0</v>
      </c>
    </row>
    <row r="17" spans="1:84">
      <c r="A17" s="452"/>
      <c r="B17" s="24">
        <v>43323</v>
      </c>
      <c r="C17" s="157">
        <v>94</v>
      </c>
      <c r="D17" s="197">
        <v>0.65</v>
      </c>
      <c r="E17" s="157">
        <v>80</v>
      </c>
      <c r="F17" s="159">
        <v>101</v>
      </c>
      <c r="G17" s="159">
        <v>88</v>
      </c>
      <c r="H17" s="159">
        <v>24</v>
      </c>
      <c r="I17" s="159">
        <v>0</v>
      </c>
      <c r="J17" s="159">
        <v>24</v>
      </c>
      <c r="K17" s="159">
        <v>0</v>
      </c>
      <c r="L17" s="161">
        <v>0</v>
      </c>
      <c r="M17" s="161">
        <v>0</v>
      </c>
      <c r="N17" s="161">
        <v>0</v>
      </c>
      <c r="O17" s="161">
        <v>0</v>
      </c>
      <c r="P17" s="161">
        <v>0</v>
      </c>
      <c r="Q17" s="159">
        <v>0</v>
      </c>
      <c r="R17" s="159">
        <v>3460</v>
      </c>
      <c r="S17" s="159">
        <v>2932</v>
      </c>
      <c r="T17" s="159">
        <v>2932</v>
      </c>
      <c r="U17" s="159">
        <v>2863</v>
      </c>
      <c r="V17" s="159">
        <v>2960</v>
      </c>
      <c r="W17" s="159">
        <v>40</v>
      </c>
      <c r="X17" s="159">
        <v>0</v>
      </c>
      <c r="Y17" s="159">
        <v>43</v>
      </c>
      <c r="Z17" s="161">
        <v>0</v>
      </c>
      <c r="AA17" s="161">
        <v>57</v>
      </c>
      <c r="AB17" s="161">
        <v>0</v>
      </c>
      <c r="AC17" s="165">
        <f t="shared" si="15"/>
        <v>97</v>
      </c>
      <c r="AD17" s="166">
        <f t="shared" si="16"/>
        <v>-69</v>
      </c>
      <c r="AE17" s="159">
        <v>125</v>
      </c>
      <c r="AF17" s="167">
        <f t="shared" si="27"/>
        <v>0.98666666666666669</v>
      </c>
      <c r="AG17" s="168">
        <f t="shared" si="17"/>
        <v>144.16666666666666</v>
      </c>
      <c r="AH17" s="167">
        <f t="shared" si="28"/>
        <v>0.82745664739884395</v>
      </c>
      <c r="AI17" s="169">
        <f t="shared" ref="AI17:AI39" si="30">IF(U17&gt;0,(1440-((W17*X17)+(Y17*Z17)+(AA17*AB17))/(W17+Y17+AA17))/1440,"no data")</f>
        <v>1</v>
      </c>
      <c r="AJ17" s="170">
        <f t="shared" si="18"/>
        <v>0.87857142857142856</v>
      </c>
      <c r="AK17" s="306">
        <v>9.83</v>
      </c>
      <c r="AL17" s="307">
        <v>190.04</v>
      </c>
      <c r="AM17" s="171">
        <f t="shared" si="19"/>
        <v>1868.0932</v>
      </c>
      <c r="AN17" s="306">
        <v>23.711350000000003</v>
      </c>
      <c r="AO17" s="331">
        <v>977.47660930313953</v>
      </c>
      <c r="AP17" s="172">
        <f t="shared" si="20"/>
        <v>23177.29</v>
      </c>
      <c r="AQ17" s="202">
        <f t="shared" si="21"/>
        <v>8747.9508208173247</v>
      </c>
      <c r="AR17" s="340">
        <f t="shared" si="22"/>
        <v>122.16666666666667</v>
      </c>
      <c r="AS17" s="13"/>
      <c r="AT17" s="159">
        <v>0</v>
      </c>
      <c r="AU17" s="159">
        <v>0</v>
      </c>
      <c r="AV17" s="159">
        <v>0</v>
      </c>
      <c r="AW17" s="159">
        <v>0</v>
      </c>
      <c r="AX17" s="159">
        <v>17</v>
      </c>
      <c r="AY17" s="159">
        <v>1440</v>
      </c>
      <c r="AZ17" s="159">
        <v>0</v>
      </c>
      <c r="BA17" s="332"/>
      <c r="BB17" s="175">
        <v>956</v>
      </c>
      <c r="BC17" s="175">
        <v>1031</v>
      </c>
      <c r="BD17" s="175">
        <v>973</v>
      </c>
      <c r="BE17" s="175">
        <f t="shared" si="23"/>
        <v>75</v>
      </c>
      <c r="BF17" s="177">
        <f t="shared" si="24"/>
        <v>8747.9508208173247</v>
      </c>
      <c r="BG17" s="177">
        <f t="shared" si="25"/>
        <v>40.541666666666664</v>
      </c>
      <c r="BH17" s="178">
        <v>0</v>
      </c>
      <c r="BI17" s="156">
        <v>0</v>
      </c>
      <c r="BJ17" s="177">
        <v>24</v>
      </c>
      <c r="BK17" s="175">
        <v>25.22</v>
      </c>
      <c r="BL17" s="175">
        <v>21.34</v>
      </c>
      <c r="BM17" s="175">
        <v>29.98</v>
      </c>
      <c r="BN17" s="186">
        <v>983.4</v>
      </c>
      <c r="BO17" s="179">
        <v>50.14</v>
      </c>
      <c r="BP17" s="185">
        <v>0.93020000000000003</v>
      </c>
      <c r="BQ17" s="177">
        <v>95.02</v>
      </c>
      <c r="BR17" s="186">
        <v>87.36</v>
      </c>
      <c r="BS17" s="175">
        <v>12373</v>
      </c>
      <c r="BT17" s="175">
        <v>12090</v>
      </c>
      <c r="BU17" s="51">
        <f t="shared" si="26"/>
        <v>-283</v>
      </c>
      <c r="BV17" s="353">
        <f t="shared" si="29"/>
        <v>0</v>
      </c>
      <c r="BW17" s="177">
        <v>0</v>
      </c>
      <c r="BX17" s="177">
        <v>0</v>
      </c>
      <c r="BZ17" s="177">
        <v>24</v>
      </c>
      <c r="CA17" s="177">
        <v>5.5</v>
      </c>
      <c r="CC17" s="177">
        <v>2.1</v>
      </c>
      <c r="CD17" s="177">
        <v>4.5999999999999996</v>
      </c>
      <c r="CE17" s="177">
        <v>2</v>
      </c>
      <c r="CF17" s="177">
        <v>0</v>
      </c>
    </row>
    <row r="18" spans="1:84">
      <c r="A18" s="453"/>
      <c r="B18" s="24">
        <v>43324</v>
      </c>
      <c r="C18" s="157">
        <v>93.1</v>
      </c>
      <c r="D18" s="197">
        <v>0.65</v>
      </c>
      <c r="E18" s="157">
        <v>79</v>
      </c>
      <c r="F18" s="159">
        <v>101</v>
      </c>
      <c r="G18" s="159">
        <v>88</v>
      </c>
      <c r="H18" s="159">
        <v>24</v>
      </c>
      <c r="I18" s="159">
        <v>0</v>
      </c>
      <c r="J18" s="159">
        <v>24</v>
      </c>
      <c r="K18" s="159">
        <v>0</v>
      </c>
      <c r="L18" s="159">
        <v>0</v>
      </c>
      <c r="M18" s="159">
        <v>0</v>
      </c>
      <c r="N18" s="187">
        <v>0</v>
      </c>
      <c r="O18" s="187">
        <v>0</v>
      </c>
      <c r="P18" s="187">
        <v>0</v>
      </c>
      <c r="Q18" s="159">
        <v>0</v>
      </c>
      <c r="R18" s="159">
        <v>3467</v>
      </c>
      <c r="S18" s="159">
        <v>2932</v>
      </c>
      <c r="T18" s="159">
        <v>2932</v>
      </c>
      <c r="U18" s="159">
        <v>2863</v>
      </c>
      <c r="V18" s="159">
        <v>2958</v>
      </c>
      <c r="W18" s="159">
        <v>40</v>
      </c>
      <c r="X18" s="159">
        <v>0</v>
      </c>
      <c r="Y18" s="159">
        <v>43</v>
      </c>
      <c r="Z18" s="159">
        <v>0</v>
      </c>
      <c r="AA18" s="159">
        <v>57</v>
      </c>
      <c r="AB18" s="187">
        <v>0</v>
      </c>
      <c r="AC18" s="165">
        <f t="shared" si="15"/>
        <v>95</v>
      </c>
      <c r="AD18" s="166">
        <f t="shared" si="16"/>
        <v>-69</v>
      </c>
      <c r="AE18" s="159">
        <v>125</v>
      </c>
      <c r="AF18" s="167">
        <f t="shared" si="27"/>
        <v>0.98599999999999999</v>
      </c>
      <c r="AG18" s="168">
        <f t="shared" si="17"/>
        <v>144.45833333333334</v>
      </c>
      <c r="AH18" s="167">
        <f>IF(U18&gt;0,(U18/R18),"no data")</f>
        <v>0.82578598211710408</v>
      </c>
      <c r="AI18" s="169">
        <f t="shared" si="30"/>
        <v>1</v>
      </c>
      <c r="AJ18" s="170">
        <f t="shared" si="18"/>
        <v>0.87857142857142856</v>
      </c>
      <c r="AK18" s="306">
        <v>9.7530000000000001</v>
      </c>
      <c r="AL18" s="307">
        <v>194.23</v>
      </c>
      <c r="AM18" s="171">
        <f t="shared" si="19"/>
        <v>1894.32519</v>
      </c>
      <c r="AN18" s="306">
        <v>23.685189999999999</v>
      </c>
      <c r="AO18" s="331">
        <v>974.71077918310982</v>
      </c>
      <c r="AP18" s="172">
        <f t="shared" si="20"/>
        <v>23086.21</v>
      </c>
      <c r="AQ18" s="202">
        <f t="shared" si="21"/>
        <v>8725.3004505763183</v>
      </c>
      <c r="AR18" s="340">
        <f t="shared" si="22"/>
        <v>122.16666666666667</v>
      </c>
      <c r="AS18" s="13"/>
      <c r="AT18" s="159">
        <v>0</v>
      </c>
      <c r="AU18" s="159">
        <v>0</v>
      </c>
      <c r="AV18" s="159">
        <v>0</v>
      </c>
      <c r="AW18" s="159">
        <v>0</v>
      </c>
      <c r="AX18" s="174">
        <v>17</v>
      </c>
      <c r="AY18" s="159">
        <v>1440</v>
      </c>
      <c r="AZ18" s="159">
        <v>0</v>
      </c>
      <c r="BA18" s="332"/>
      <c r="BB18" s="175">
        <v>956</v>
      </c>
      <c r="BC18" s="175">
        <v>1029</v>
      </c>
      <c r="BD18" s="175">
        <v>973</v>
      </c>
      <c r="BE18" s="175">
        <f t="shared" si="23"/>
        <v>73</v>
      </c>
      <c r="BF18" s="177">
        <f t="shared" si="24"/>
        <v>8725.3004505763183</v>
      </c>
      <c r="BG18" s="177">
        <f t="shared" si="25"/>
        <v>40.541666666666664</v>
      </c>
      <c r="BH18" s="178">
        <v>0</v>
      </c>
      <c r="BI18" s="156">
        <v>0</v>
      </c>
      <c r="BJ18" s="177">
        <v>24</v>
      </c>
      <c r="BK18" s="175">
        <v>25.24</v>
      </c>
      <c r="BL18" s="175">
        <v>21.42</v>
      </c>
      <c r="BM18" s="175">
        <v>29.73</v>
      </c>
      <c r="BN18" s="186">
        <v>980.8</v>
      </c>
      <c r="BO18" s="179">
        <v>50.07</v>
      </c>
      <c r="BP18" s="180">
        <v>0.92630000000000001</v>
      </c>
      <c r="BQ18" s="186">
        <v>95.09</v>
      </c>
      <c r="BR18" s="186">
        <v>87.26</v>
      </c>
      <c r="BS18" s="175">
        <v>12388</v>
      </c>
      <c r="BT18" s="175">
        <v>12125</v>
      </c>
      <c r="BU18" s="51">
        <f t="shared" si="26"/>
        <v>-263</v>
      </c>
      <c r="BV18" s="353">
        <f t="shared" si="29"/>
        <v>0</v>
      </c>
      <c r="BW18" s="177">
        <v>0</v>
      </c>
      <c r="BX18" s="177">
        <v>0</v>
      </c>
      <c r="BZ18" s="177">
        <v>24</v>
      </c>
      <c r="CA18" s="177">
        <v>6.4</v>
      </c>
      <c r="CC18" s="177">
        <v>2.1</v>
      </c>
      <c r="CD18" s="177">
        <v>4.5</v>
      </c>
      <c r="CE18" s="177">
        <v>2.1</v>
      </c>
      <c r="CF18" s="177">
        <v>0</v>
      </c>
    </row>
    <row r="19" spans="1:84" ht="15" customHeight="1">
      <c r="A19" s="451" t="s">
        <v>261</v>
      </c>
      <c r="B19" s="24">
        <v>43325</v>
      </c>
      <c r="C19" s="25">
        <v>92.7</v>
      </c>
      <c r="D19" s="26">
        <v>0.63</v>
      </c>
      <c r="E19" s="25">
        <v>78.2</v>
      </c>
      <c r="F19" s="27">
        <v>99</v>
      </c>
      <c r="G19" s="27">
        <v>87</v>
      </c>
      <c r="H19" s="27">
        <v>24</v>
      </c>
      <c r="I19" s="27">
        <v>0</v>
      </c>
      <c r="J19" s="27">
        <v>24</v>
      </c>
      <c r="K19" s="27">
        <v>0</v>
      </c>
      <c r="L19" s="27">
        <v>0</v>
      </c>
      <c r="M19" s="27">
        <v>0</v>
      </c>
      <c r="N19" s="29">
        <v>0</v>
      </c>
      <c r="O19" s="29">
        <v>0</v>
      </c>
      <c r="P19" s="29">
        <v>0</v>
      </c>
      <c r="Q19" s="27">
        <v>0</v>
      </c>
      <c r="R19" s="251">
        <v>3471</v>
      </c>
      <c r="S19" s="253">
        <v>2948</v>
      </c>
      <c r="T19" s="27">
        <v>2948</v>
      </c>
      <c r="U19" s="27">
        <v>2877</v>
      </c>
      <c r="V19" s="27">
        <v>2975</v>
      </c>
      <c r="W19" s="27">
        <v>40</v>
      </c>
      <c r="X19" s="27">
        <v>0</v>
      </c>
      <c r="Y19" s="27">
        <v>43</v>
      </c>
      <c r="Z19" s="27">
        <v>0</v>
      </c>
      <c r="AA19" s="27">
        <v>57</v>
      </c>
      <c r="AB19" s="29">
        <v>0</v>
      </c>
      <c r="AC19" s="32">
        <f t="shared" si="15"/>
        <v>98</v>
      </c>
      <c r="AD19" s="33">
        <f t="shared" si="16"/>
        <v>-71</v>
      </c>
      <c r="AE19" s="27">
        <v>127</v>
      </c>
      <c r="AF19" s="34">
        <f t="shared" si="27"/>
        <v>0.97604986876640421</v>
      </c>
      <c r="AG19" s="35">
        <f t="shared" si="17"/>
        <v>144.625</v>
      </c>
      <c r="AH19" s="34">
        <f t="shared" si="28"/>
        <v>0.82886776145203112</v>
      </c>
      <c r="AI19" s="226">
        <f t="shared" si="30"/>
        <v>1</v>
      </c>
      <c r="AJ19" s="37">
        <f t="shared" si="18"/>
        <v>0.88571428571428568</v>
      </c>
      <c r="AK19" s="255">
        <v>9.6449999999999996</v>
      </c>
      <c r="AL19" s="256">
        <v>191.6</v>
      </c>
      <c r="AM19" s="38">
        <f t="shared" si="19"/>
        <v>1847.982</v>
      </c>
      <c r="AN19" s="255">
        <v>23.793189999999999</v>
      </c>
      <c r="AO19" s="320">
        <v>974.37165844512651</v>
      </c>
      <c r="AP19" s="39">
        <f t="shared" si="20"/>
        <v>23183.41</v>
      </c>
      <c r="AQ19" s="201">
        <f t="shared" si="21"/>
        <v>8700.5185957594713</v>
      </c>
      <c r="AR19" s="229">
        <f t="shared" si="22"/>
        <v>122.83333333333333</v>
      </c>
      <c r="AS19" s="13"/>
      <c r="AT19" s="27">
        <v>0</v>
      </c>
      <c r="AU19" s="40">
        <v>0</v>
      </c>
      <c r="AV19" s="40">
        <v>0</v>
      </c>
      <c r="AW19" s="27">
        <v>0</v>
      </c>
      <c r="AX19" s="40">
        <v>16</v>
      </c>
      <c r="AY19" s="27">
        <v>1440</v>
      </c>
      <c r="AZ19" s="27">
        <v>0</v>
      </c>
      <c r="BA19" s="332"/>
      <c r="BB19" s="52">
        <v>962</v>
      </c>
      <c r="BC19" s="52">
        <v>1036</v>
      </c>
      <c r="BD19" s="52">
        <v>977</v>
      </c>
      <c r="BE19" s="41">
        <f t="shared" si="23"/>
        <v>74</v>
      </c>
      <c r="BF19" s="41">
        <f t="shared" si="24"/>
        <v>8700.5185957594713</v>
      </c>
      <c r="BG19" s="60">
        <f t="shared" si="25"/>
        <v>40.708333333333336</v>
      </c>
      <c r="BH19" s="61">
        <v>0</v>
      </c>
      <c r="BI19" s="62">
        <v>0</v>
      </c>
      <c r="BJ19" s="42">
        <v>24</v>
      </c>
      <c r="BK19" s="41">
        <v>25.34</v>
      </c>
      <c r="BL19" s="41">
        <v>21.64</v>
      </c>
      <c r="BM19" s="41">
        <v>29.6</v>
      </c>
      <c r="BN19" s="54">
        <v>982.21</v>
      </c>
      <c r="BO19" s="63">
        <v>50.09</v>
      </c>
      <c r="BP19" s="64">
        <v>0.9294</v>
      </c>
      <c r="BQ19" s="42">
        <v>95</v>
      </c>
      <c r="BR19" s="42">
        <v>87.26</v>
      </c>
      <c r="BS19" s="41">
        <v>12374</v>
      </c>
      <c r="BT19" s="41">
        <v>12137</v>
      </c>
      <c r="BU19" s="51">
        <f t="shared" si="26"/>
        <v>-237</v>
      </c>
      <c r="BV19" s="41">
        <f t="shared" si="29"/>
        <v>0</v>
      </c>
      <c r="BW19" s="42">
        <v>0</v>
      </c>
      <c r="BX19" s="42">
        <v>0</v>
      </c>
      <c r="BZ19" s="42">
        <v>24</v>
      </c>
      <c r="CA19" s="42">
        <v>6.67</v>
      </c>
      <c r="CC19" s="177">
        <v>2.1</v>
      </c>
      <c r="CD19" s="177">
        <v>4.5999999999999996</v>
      </c>
      <c r="CE19" s="177">
        <v>2.1</v>
      </c>
      <c r="CF19" s="177">
        <v>0</v>
      </c>
    </row>
    <row r="20" spans="1:84">
      <c r="A20" s="452"/>
      <c r="B20" s="24">
        <v>43326</v>
      </c>
      <c r="C20" s="25">
        <v>93.7</v>
      </c>
      <c r="D20" s="26">
        <v>0.63100000000000001</v>
      </c>
      <c r="E20" s="25">
        <v>78.099999999999994</v>
      </c>
      <c r="F20" s="27">
        <v>100</v>
      </c>
      <c r="G20" s="27">
        <v>87</v>
      </c>
      <c r="H20" s="27">
        <v>24</v>
      </c>
      <c r="I20" s="27">
        <v>0</v>
      </c>
      <c r="J20" s="27">
        <v>24</v>
      </c>
      <c r="K20" s="27">
        <v>0</v>
      </c>
      <c r="L20" s="29">
        <v>0</v>
      </c>
      <c r="M20" s="29">
        <v>0</v>
      </c>
      <c r="N20" s="29">
        <v>0</v>
      </c>
      <c r="O20" s="29">
        <v>0</v>
      </c>
      <c r="P20" s="29">
        <v>0</v>
      </c>
      <c r="Q20" s="27">
        <v>0</v>
      </c>
      <c r="R20" s="252">
        <v>3461</v>
      </c>
      <c r="S20" s="253">
        <v>2947</v>
      </c>
      <c r="T20" s="27">
        <v>2947</v>
      </c>
      <c r="U20" s="27">
        <v>2872</v>
      </c>
      <c r="V20" s="27">
        <v>2971</v>
      </c>
      <c r="W20" s="27">
        <v>40</v>
      </c>
      <c r="X20" s="27">
        <v>0</v>
      </c>
      <c r="Y20" s="27">
        <v>43</v>
      </c>
      <c r="Z20" s="29">
        <v>0</v>
      </c>
      <c r="AA20" s="29">
        <v>57</v>
      </c>
      <c r="AB20" s="29">
        <v>0</v>
      </c>
      <c r="AC20" s="32">
        <f t="shared" si="15"/>
        <v>99</v>
      </c>
      <c r="AD20" s="33">
        <f t="shared" si="16"/>
        <v>-75</v>
      </c>
      <c r="AE20" s="27">
        <v>126</v>
      </c>
      <c r="AF20" s="34">
        <f t="shared" si="27"/>
        <v>0.982473544973545</v>
      </c>
      <c r="AG20" s="35">
        <f t="shared" si="17"/>
        <v>144.20833333333334</v>
      </c>
      <c r="AH20" s="34">
        <f t="shared" si="28"/>
        <v>0.82981797168448423</v>
      </c>
      <c r="AI20" s="226">
        <f t="shared" si="30"/>
        <v>1</v>
      </c>
      <c r="AJ20" s="37">
        <f t="shared" si="18"/>
        <v>0.88571428571428568</v>
      </c>
      <c r="AK20" s="255">
        <v>9.5749999999999993</v>
      </c>
      <c r="AL20" s="256">
        <v>193.08</v>
      </c>
      <c r="AM20" s="38">
        <f t="shared" si="19"/>
        <v>1848.741</v>
      </c>
      <c r="AN20" s="255">
        <v>23.735580000000002</v>
      </c>
      <c r="AO20" s="320">
        <v>975.80846981619993</v>
      </c>
      <c r="AP20" s="39">
        <f t="shared" si="20"/>
        <v>23161.38</v>
      </c>
      <c r="AQ20" s="201">
        <f t="shared" si="21"/>
        <v>8708.2594011142064</v>
      </c>
      <c r="AR20" s="229">
        <f t="shared" si="22"/>
        <v>122.79166666666667</v>
      </c>
      <c r="AS20" s="13"/>
      <c r="AT20" s="27">
        <v>0</v>
      </c>
      <c r="AU20" s="40">
        <v>0</v>
      </c>
      <c r="AV20" s="40">
        <v>0</v>
      </c>
      <c r="AW20" s="40">
        <v>0</v>
      </c>
      <c r="AX20" s="40">
        <v>16</v>
      </c>
      <c r="AY20" s="40">
        <v>1440</v>
      </c>
      <c r="AZ20" s="27">
        <v>0</v>
      </c>
      <c r="BA20" s="332"/>
      <c r="BB20" s="52">
        <v>960</v>
      </c>
      <c r="BC20" s="52">
        <v>1033</v>
      </c>
      <c r="BD20" s="52">
        <v>978</v>
      </c>
      <c r="BE20" s="41">
        <f t="shared" si="23"/>
        <v>73</v>
      </c>
      <c r="BF20" s="41">
        <f t="shared" si="24"/>
        <v>8708.2594011142064</v>
      </c>
      <c r="BG20" s="60">
        <f t="shared" si="25"/>
        <v>40.75</v>
      </c>
      <c r="BH20" s="43">
        <v>0</v>
      </c>
      <c r="BI20" s="44">
        <v>0</v>
      </c>
      <c r="BJ20" s="45">
        <v>24</v>
      </c>
      <c r="BK20" s="47">
        <v>25.28</v>
      </c>
      <c r="BL20" s="47">
        <v>21.36</v>
      </c>
      <c r="BM20" s="47">
        <v>29.58</v>
      </c>
      <c r="BN20" s="45">
        <v>984.42</v>
      </c>
      <c r="BO20" s="45">
        <v>50.1</v>
      </c>
      <c r="BP20" s="48">
        <v>0.92930000000000001</v>
      </c>
      <c r="BQ20" s="42">
        <v>94.95</v>
      </c>
      <c r="BR20" s="42">
        <v>87.23</v>
      </c>
      <c r="BS20" s="41">
        <v>12360</v>
      </c>
      <c r="BT20" s="41">
        <v>12044</v>
      </c>
      <c r="BU20" s="51">
        <f t="shared" si="26"/>
        <v>-316</v>
      </c>
      <c r="BV20" s="41">
        <f t="shared" si="29"/>
        <v>0</v>
      </c>
      <c r="BW20" s="42">
        <v>0</v>
      </c>
      <c r="BX20" s="42">
        <v>0</v>
      </c>
      <c r="BZ20" s="42">
        <v>24</v>
      </c>
      <c r="CA20" s="42">
        <v>6.42</v>
      </c>
      <c r="CC20" s="42">
        <v>2.1</v>
      </c>
      <c r="CD20" s="42">
        <v>4.4000000000000004</v>
      </c>
      <c r="CE20" s="42">
        <v>2.1</v>
      </c>
      <c r="CF20" s="42">
        <v>0</v>
      </c>
    </row>
    <row r="21" spans="1:84">
      <c r="A21" s="452"/>
      <c r="B21" s="24">
        <v>43327</v>
      </c>
      <c r="C21" s="25">
        <v>91.9</v>
      </c>
      <c r="D21" s="26">
        <v>0.68</v>
      </c>
      <c r="E21" s="25">
        <v>80.2</v>
      </c>
      <c r="F21" s="27">
        <v>101</v>
      </c>
      <c r="G21" s="27">
        <v>87</v>
      </c>
      <c r="H21" s="27">
        <v>24</v>
      </c>
      <c r="I21" s="27">
        <v>0</v>
      </c>
      <c r="J21" s="27">
        <v>24</v>
      </c>
      <c r="K21" s="27">
        <v>0</v>
      </c>
      <c r="L21" s="29">
        <v>0</v>
      </c>
      <c r="M21" s="29">
        <v>0</v>
      </c>
      <c r="N21" s="29">
        <v>0</v>
      </c>
      <c r="O21" s="29">
        <v>0</v>
      </c>
      <c r="P21" s="29">
        <v>0</v>
      </c>
      <c r="Q21" s="27">
        <v>0</v>
      </c>
      <c r="R21" s="252">
        <v>3478</v>
      </c>
      <c r="S21" s="253">
        <v>2940</v>
      </c>
      <c r="T21" s="253">
        <v>2940</v>
      </c>
      <c r="U21" s="253">
        <v>2865</v>
      </c>
      <c r="V21" s="253">
        <v>2964</v>
      </c>
      <c r="W21" s="27">
        <v>40</v>
      </c>
      <c r="X21" s="27">
        <v>0</v>
      </c>
      <c r="Y21" s="27">
        <v>43</v>
      </c>
      <c r="Z21" s="29">
        <v>0</v>
      </c>
      <c r="AA21" s="29">
        <v>57</v>
      </c>
      <c r="AB21" s="29">
        <v>0</v>
      </c>
      <c r="AC21" s="32">
        <f t="shared" si="15"/>
        <v>99</v>
      </c>
      <c r="AD21" s="33">
        <f t="shared" si="16"/>
        <v>-75</v>
      </c>
      <c r="AE21" s="27">
        <v>125</v>
      </c>
      <c r="AF21" s="34">
        <f t="shared" si="27"/>
        <v>0.98799999999999999</v>
      </c>
      <c r="AG21" s="35">
        <f t="shared" si="17"/>
        <v>144.91666666666666</v>
      </c>
      <c r="AH21" s="34">
        <f>IF(U21&gt;0,(U21/R21),"no data")</f>
        <v>0.8237492811960897</v>
      </c>
      <c r="AI21" s="226">
        <f t="shared" si="30"/>
        <v>1</v>
      </c>
      <c r="AJ21" s="37">
        <f t="shared" si="18"/>
        <v>0.88571428571428568</v>
      </c>
      <c r="AK21" s="255">
        <v>9.375</v>
      </c>
      <c r="AL21" s="256">
        <v>197.28</v>
      </c>
      <c r="AM21" s="38">
        <f t="shared" si="19"/>
        <v>1849.5</v>
      </c>
      <c r="AN21" s="255">
        <v>23.628990000000002</v>
      </c>
      <c r="AO21" s="320">
        <v>980.30893406785469</v>
      </c>
      <c r="AP21" s="39">
        <f t="shared" si="20"/>
        <v>23163.71</v>
      </c>
      <c r="AQ21" s="201">
        <f t="shared" si="21"/>
        <v>8730.6143106457239</v>
      </c>
      <c r="AR21" s="229">
        <f t="shared" si="22"/>
        <v>122.5</v>
      </c>
      <c r="AS21" s="13"/>
      <c r="AT21" s="27">
        <v>0</v>
      </c>
      <c r="AU21" s="40">
        <v>0</v>
      </c>
      <c r="AV21" s="40">
        <v>0</v>
      </c>
      <c r="AW21" s="27">
        <v>0</v>
      </c>
      <c r="AX21" s="40">
        <v>16</v>
      </c>
      <c r="AY21" s="27">
        <v>1440</v>
      </c>
      <c r="AZ21" s="27">
        <v>0</v>
      </c>
      <c r="BA21" s="332"/>
      <c r="BB21" s="52">
        <v>958</v>
      </c>
      <c r="BC21" s="52">
        <v>1032</v>
      </c>
      <c r="BD21" s="52">
        <v>974</v>
      </c>
      <c r="BE21" s="41">
        <f t="shared" si="23"/>
        <v>74</v>
      </c>
      <c r="BF21" s="41">
        <f t="shared" si="24"/>
        <v>8730.6143106457239</v>
      </c>
      <c r="BG21" s="60">
        <f t="shared" si="25"/>
        <v>40.583333333333336</v>
      </c>
      <c r="BH21" s="43">
        <v>0</v>
      </c>
      <c r="BI21" s="44">
        <v>0</v>
      </c>
      <c r="BJ21" s="45">
        <v>24</v>
      </c>
      <c r="BK21" s="45">
        <v>25.13</v>
      </c>
      <c r="BL21" s="47">
        <v>21.21</v>
      </c>
      <c r="BM21" s="47">
        <v>29.43</v>
      </c>
      <c r="BN21" s="45">
        <v>986.13</v>
      </c>
      <c r="BO21" s="45">
        <v>50.13</v>
      </c>
      <c r="BP21" s="48">
        <v>0.92930000000000001</v>
      </c>
      <c r="BQ21" s="42">
        <v>95.07</v>
      </c>
      <c r="BR21" s="42">
        <v>87.32</v>
      </c>
      <c r="BS21" s="41">
        <v>12305</v>
      </c>
      <c r="BT21" s="41">
        <v>11987</v>
      </c>
      <c r="BU21" s="51">
        <f t="shared" si="26"/>
        <v>-318</v>
      </c>
      <c r="BV21" s="41">
        <f t="shared" si="29"/>
        <v>0</v>
      </c>
      <c r="BW21" s="42">
        <v>0</v>
      </c>
      <c r="BX21" s="42">
        <v>0</v>
      </c>
      <c r="BZ21" s="42">
        <v>24</v>
      </c>
      <c r="CA21" s="42">
        <v>5.77</v>
      </c>
      <c r="CC21" s="42">
        <v>2.1</v>
      </c>
      <c r="CD21" s="42">
        <v>4.5</v>
      </c>
      <c r="CE21" s="42">
        <v>2</v>
      </c>
      <c r="CF21" s="42">
        <v>0</v>
      </c>
    </row>
    <row r="22" spans="1:84">
      <c r="A22" s="452"/>
      <c r="B22" s="24">
        <v>43328</v>
      </c>
      <c r="C22" s="25">
        <v>90.4</v>
      </c>
      <c r="D22" s="26">
        <v>0.68400000000000005</v>
      </c>
      <c r="E22" s="38">
        <v>79.900000000000006</v>
      </c>
      <c r="F22" s="27">
        <v>99</v>
      </c>
      <c r="G22" s="27">
        <v>84</v>
      </c>
      <c r="H22" s="27">
        <v>16</v>
      </c>
      <c r="I22" s="27">
        <v>53</v>
      </c>
      <c r="J22" s="27">
        <v>21</v>
      </c>
      <c r="K22" s="27">
        <v>17</v>
      </c>
      <c r="L22" s="29">
        <v>0</v>
      </c>
      <c r="M22" s="29">
        <v>0</v>
      </c>
      <c r="N22" s="29">
        <v>0</v>
      </c>
      <c r="O22" s="29">
        <v>0</v>
      </c>
      <c r="P22" s="29">
        <v>0</v>
      </c>
      <c r="Q22" s="27">
        <v>0</v>
      </c>
      <c r="R22" s="252">
        <v>3482</v>
      </c>
      <c r="S22" s="253">
        <v>2328</v>
      </c>
      <c r="T22" s="27">
        <v>2328</v>
      </c>
      <c r="U22" s="27">
        <v>2279</v>
      </c>
      <c r="V22" s="27">
        <v>2364</v>
      </c>
      <c r="W22" s="27">
        <v>40</v>
      </c>
      <c r="X22" s="27">
        <v>409</v>
      </c>
      <c r="Y22" s="27">
        <v>43</v>
      </c>
      <c r="Z22" s="29">
        <v>124</v>
      </c>
      <c r="AA22" s="29">
        <v>57</v>
      </c>
      <c r="AB22" s="29">
        <v>189</v>
      </c>
      <c r="AC22" s="32">
        <f t="shared" si="15"/>
        <v>89</v>
      </c>
      <c r="AD22" s="33">
        <f t="shared" si="16"/>
        <v>-49</v>
      </c>
      <c r="AE22" s="27">
        <v>126</v>
      </c>
      <c r="AF22" s="34">
        <f t="shared" si="27"/>
        <v>0.78174603174603174</v>
      </c>
      <c r="AG22" s="35">
        <f t="shared" si="17"/>
        <v>145.08333333333334</v>
      </c>
      <c r="AH22" s="34">
        <f t="shared" si="28"/>
        <v>0.65450890292935093</v>
      </c>
      <c r="AI22" s="226">
        <f t="shared" si="30"/>
        <v>0.8389632936507937</v>
      </c>
      <c r="AJ22" s="37">
        <f t="shared" si="18"/>
        <v>0.68332341269841268</v>
      </c>
      <c r="AK22" s="255">
        <v>5.0750000000000002</v>
      </c>
      <c r="AL22" s="256">
        <v>197.66</v>
      </c>
      <c r="AM22" s="38">
        <f t="shared" si="19"/>
        <v>1003.1245</v>
      </c>
      <c r="AN22" s="255">
        <v>19.037749999999999</v>
      </c>
      <c r="AO22" s="320">
        <v>982.17021444235809</v>
      </c>
      <c r="AP22" s="39">
        <f t="shared" si="20"/>
        <v>18698.311000000002</v>
      </c>
      <c r="AQ22" s="201">
        <f t="shared" si="21"/>
        <v>8644.7720491443615</v>
      </c>
      <c r="AR22" s="229">
        <f t="shared" si="22"/>
        <v>97</v>
      </c>
      <c r="AS22" s="13"/>
      <c r="AT22" s="27">
        <v>22</v>
      </c>
      <c r="AU22" s="40">
        <v>18</v>
      </c>
      <c r="AV22" s="40">
        <v>19</v>
      </c>
      <c r="AW22" s="27">
        <v>39</v>
      </c>
      <c r="AX22" s="40">
        <v>21</v>
      </c>
      <c r="AY22" s="27">
        <v>1440</v>
      </c>
      <c r="AZ22" s="27">
        <v>4</v>
      </c>
      <c r="BA22" s="332"/>
      <c r="BB22" s="52">
        <v>676</v>
      </c>
      <c r="BC22" s="52">
        <v>931</v>
      </c>
      <c r="BD22" s="52">
        <v>757</v>
      </c>
      <c r="BE22" s="41">
        <f t="shared" si="23"/>
        <v>255</v>
      </c>
      <c r="BF22" s="41">
        <f t="shared" si="24"/>
        <v>8644.7720491443615</v>
      </c>
      <c r="BG22" s="60">
        <f t="shared" si="25"/>
        <v>31.541666666666668</v>
      </c>
      <c r="BH22" s="43">
        <v>0</v>
      </c>
      <c r="BI22" s="44">
        <v>0</v>
      </c>
      <c r="BJ22" s="45">
        <v>24</v>
      </c>
      <c r="BK22" s="47">
        <v>25.15</v>
      </c>
      <c r="BL22" s="47">
        <v>21.27</v>
      </c>
      <c r="BM22" s="47">
        <v>29.34</v>
      </c>
      <c r="BN22" s="45">
        <v>988.54</v>
      </c>
      <c r="BO22" s="45">
        <v>50.11</v>
      </c>
      <c r="BP22" s="48">
        <v>0.92920000000000003</v>
      </c>
      <c r="BQ22" s="42">
        <v>94.99</v>
      </c>
      <c r="BR22" s="42">
        <v>87.31</v>
      </c>
      <c r="BS22" s="41">
        <v>12257</v>
      </c>
      <c r="BT22" s="41">
        <v>11963</v>
      </c>
      <c r="BU22" s="51">
        <f t="shared" si="26"/>
        <v>-294</v>
      </c>
      <c r="BV22" s="41">
        <f t="shared" si="29"/>
        <v>0</v>
      </c>
      <c r="BW22" s="42">
        <v>0</v>
      </c>
      <c r="BX22" s="42">
        <v>0</v>
      </c>
      <c r="BZ22" s="42">
        <v>15.78</v>
      </c>
      <c r="CA22" s="42">
        <v>6.75</v>
      </c>
      <c r="CC22" s="42">
        <v>1.9</v>
      </c>
      <c r="CD22" s="42">
        <v>4.5</v>
      </c>
      <c r="CE22" s="42">
        <v>2.1</v>
      </c>
      <c r="CF22" s="42">
        <v>0</v>
      </c>
    </row>
    <row r="23" spans="1:84">
      <c r="A23" s="452"/>
      <c r="B23" s="24">
        <v>43329</v>
      </c>
      <c r="C23" s="25">
        <v>93.5</v>
      </c>
      <c r="D23" s="26">
        <v>0.66900000000000004</v>
      </c>
      <c r="E23" s="38">
        <v>81.2</v>
      </c>
      <c r="F23" s="28">
        <v>100</v>
      </c>
      <c r="G23" s="28">
        <v>86</v>
      </c>
      <c r="H23" s="28">
        <v>24</v>
      </c>
      <c r="I23" s="28">
        <v>0</v>
      </c>
      <c r="J23" s="28">
        <v>24</v>
      </c>
      <c r="K23" s="28">
        <v>0</v>
      </c>
      <c r="L23" s="28">
        <v>0</v>
      </c>
      <c r="M23" s="28">
        <v>0</v>
      </c>
      <c r="N23" s="28">
        <v>0</v>
      </c>
      <c r="O23" s="28">
        <v>0</v>
      </c>
      <c r="P23" s="28">
        <v>0</v>
      </c>
      <c r="Q23" s="27">
        <v>0</v>
      </c>
      <c r="R23" s="252">
        <v>3463</v>
      </c>
      <c r="S23" s="253">
        <v>2916</v>
      </c>
      <c r="T23" s="28">
        <v>2916</v>
      </c>
      <c r="U23" s="28">
        <v>2844</v>
      </c>
      <c r="V23" s="28">
        <v>2942</v>
      </c>
      <c r="W23" s="28">
        <v>40</v>
      </c>
      <c r="X23" s="28">
        <v>0</v>
      </c>
      <c r="Y23" s="28">
        <v>42</v>
      </c>
      <c r="Z23" s="28">
        <v>0</v>
      </c>
      <c r="AA23" s="28">
        <v>57</v>
      </c>
      <c r="AB23" s="28">
        <v>0</v>
      </c>
      <c r="AC23" s="32">
        <f>V23-U23+AZ23</f>
        <v>98</v>
      </c>
      <c r="AD23" s="33">
        <f t="shared" si="16"/>
        <v>-72</v>
      </c>
      <c r="AE23" s="28">
        <v>124</v>
      </c>
      <c r="AF23" s="34">
        <f t="shared" si="27"/>
        <v>0.98857526881720426</v>
      </c>
      <c r="AG23" s="35">
        <f t="shared" si="17"/>
        <v>144.29166666666666</v>
      </c>
      <c r="AH23" s="34">
        <f t="shared" si="28"/>
        <v>0.82125324862835691</v>
      </c>
      <c r="AI23" s="226">
        <f t="shared" si="30"/>
        <v>1</v>
      </c>
      <c r="AJ23" s="37">
        <f t="shared" si="18"/>
        <v>0.87769784172661869</v>
      </c>
      <c r="AK23" s="236">
        <v>9.3940000000000001</v>
      </c>
      <c r="AL23" s="239">
        <v>195.93</v>
      </c>
      <c r="AM23" s="38">
        <f t="shared" si="19"/>
        <v>1840.5664200000001</v>
      </c>
      <c r="AN23" s="235">
        <v>23.473849999999999</v>
      </c>
      <c r="AO23" s="330">
        <v>979.42225071728762</v>
      </c>
      <c r="AP23" s="39">
        <f t="shared" si="20"/>
        <v>22990.811000000002</v>
      </c>
      <c r="AQ23" s="201">
        <f t="shared" si="21"/>
        <v>8731.1453656821377</v>
      </c>
      <c r="AR23" s="229">
        <f t="shared" si="22"/>
        <v>121.5</v>
      </c>
      <c r="AS23" s="13"/>
      <c r="AT23" s="28">
        <v>0</v>
      </c>
      <c r="AU23" s="40">
        <v>0</v>
      </c>
      <c r="AV23" s="40">
        <v>0</v>
      </c>
      <c r="AW23" s="27">
        <v>0</v>
      </c>
      <c r="AX23" s="28">
        <v>17</v>
      </c>
      <c r="AY23" s="28">
        <v>1440</v>
      </c>
      <c r="AZ23" s="28">
        <v>0</v>
      </c>
      <c r="BA23" s="332"/>
      <c r="BB23" s="52">
        <v>956</v>
      </c>
      <c r="BC23" s="52">
        <v>1018</v>
      </c>
      <c r="BD23" s="52">
        <v>968</v>
      </c>
      <c r="BE23" s="41">
        <f t="shared" si="23"/>
        <v>62</v>
      </c>
      <c r="BF23" s="41">
        <f t="shared" si="24"/>
        <v>8731.1453656821377</v>
      </c>
      <c r="BG23" s="60">
        <f t="shared" si="25"/>
        <v>40.333333333333336</v>
      </c>
      <c r="BH23" s="71">
        <v>0</v>
      </c>
      <c r="BI23" s="71">
        <v>0</v>
      </c>
      <c r="BJ23" s="72">
        <v>24</v>
      </c>
      <c r="BK23" s="72">
        <v>25.06</v>
      </c>
      <c r="BL23" s="72">
        <v>21.25</v>
      </c>
      <c r="BM23" s="72">
        <v>29.32</v>
      </c>
      <c r="BN23" s="73">
        <v>986.33</v>
      </c>
      <c r="BO23" s="73">
        <v>50.1</v>
      </c>
      <c r="BP23" s="74">
        <v>0.92920000000000003</v>
      </c>
      <c r="BQ23" s="54">
        <v>95.28</v>
      </c>
      <c r="BR23" s="54">
        <v>87.5</v>
      </c>
      <c r="BS23" s="55">
        <v>12312</v>
      </c>
      <c r="BT23" s="55">
        <v>12142</v>
      </c>
      <c r="BU23" s="51">
        <f t="shared" si="26"/>
        <v>-170</v>
      </c>
      <c r="BV23" s="41">
        <f t="shared" si="29"/>
        <v>0</v>
      </c>
      <c r="BW23" s="73">
        <v>0</v>
      </c>
      <c r="BX23" s="73">
        <v>0</v>
      </c>
      <c r="BZ23" s="73">
        <v>24</v>
      </c>
      <c r="CA23" s="73">
        <v>4.72</v>
      </c>
      <c r="CC23" s="73">
        <v>2</v>
      </c>
      <c r="CD23" s="73">
        <v>4.2</v>
      </c>
      <c r="CE23" s="73">
        <v>2.1</v>
      </c>
      <c r="CF23" s="73">
        <v>0</v>
      </c>
    </row>
    <row r="24" spans="1:84">
      <c r="A24" s="452"/>
      <c r="B24" s="24">
        <v>43330</v>
      </c>
      <c r="C24" s="25">
        <v>91.3</v>
      </c>
      <c r="D24" s="26">
        <v>0.69599999999999995</v>
      </c>
      <c r="E24" s="38">
        <v>81</v>
      </c>
      <c r="F24" s="75">
        <v>102</v>
      </c>
      <c r="G24" s="75">
        <v>83</v>
      </c>
      <c r="H24" s="27">
        <v>24</v>
      </c>
      <c r="I24" s="27">
        <v>0</v>
      </c>
      <c r="J24" s="27">
        <v>24</v>
      </c>
      <c r="K24" s="27">
        <v>0</v>
      </c>
      <c r="L24" s="29">
        <v>0</v>
      </c>
      <c r="M24" s="29">
        <v>0</v>
      </c>
      <c r="N24" s="29">
        <v>0</v>
      </c>
      <c r="O24" s="29">
        <v>0</v>
      </c>
      <c r="P24" s="29">
        <v>0</v>
      </c>
      <c r="Q24" s="253">
        <v>0</v>
      </c>
      <c r="R24" s="252">
        <v>3486</v>
      </c>
      <c r="S24" s="253">
        <v>2930</v>
      </c>
      <c r="T24" s="75">
        <v>2930</v>
      </c>
      <c r="U24" s="75">
        <v>2855</v>
      </c>
      <c r="V24" s="27">
        <v>2955</v>
      </c>
      <c r="W24" s="27">
        <v>40</v>
      </c>
      <c r="X24" s="27">
        <v>0</v>
      </c>
      <c r="Y24" s="27">
        <v>43</v>
      </c>
      <c r="Z24" s="29">
        <v>0</v>
      </c>
      <c r="AA24" s="29">
        <v>57</v>
      </c>
      <c r="AB24" s="29">
        <v>0</v>
      </c>
      <c r="AC24" s="32">
        <f t="shared" si="15"/>
        <v>100</v>
      </c>
      <c r="AD24" s="33">
        <f t="shared" si="16"/>
        <v>-75</v>
      </c>
      <c r="AE24" s="28">
        <v>126</v>
      </c>
      <c r="AF24" s="34">
        <f t="shared" si="27"/>
        <v>0.97718253968253965</v>
      </c>
      <c r="AG24" s="35">
        <f t="shared" si="17"/>
        <v>145.25</v>
      </c>
      <c r="AH24" s="34">
        <f t="shared" si="28"/>
        <v>0.81899024670109011</v>
      </c>
      <c r="AI24" s="226">
        <f t="shared" si="30"/>
        <v>1</v>
      </c>
      <c r="AJ24" s="37">
        <f t="shared" si="18"/>
        <v>0.87857142857142856</v>
      </c>
      <c r="AK24" s="236">
        <v>9.2629999999999999</v>
      </c>
      <c r="AL24" s="239">
        <v>197.72</v>
      </c>
      <c r="AM24" s="38">
        <f t="shared" si="19"/>
        <v>1831.48036</v>
      </c>
      <c r="AN24" s="235">
        <v>23.590810999999999</v>
      </c>
      <c r="AO24" s="330">
        <v>978.87732643019365</v>
      </c>
      <c r="AP24" s="39">
        <f t="shared" si="20"/>
        <v>23092.510000000002</v>
      </c>
      <c r="AQ24" s="201">
        <f t="shared" si="21"/>
        <v>8729.9440840630486</v>
      </c>
      <c r="AR24" s="229">
        <f t="shared" si="22"/>
        <v>122.08333333333333</v>
      </c>
      <c r="AS24" s="13"/>
      <c r="AT24" s="27">
        <v>0</v>
      </c>
      <c r="AU24" s="40">
        <v>0</v>
      </c>
      <c r="AV24" s="40">
        <v>0</v>
      </c>
      <c r="AW24" s="27">
        <v>0</v>
      </c>
      <c r="AX24" s="40">
        <v>17</v>
      </c>
      <c r="AY24" s="27">
        <v>1440</v>
      </c>
      <c r="AZ24" s="27">
        <v>0</v>
      </c>
      <c r="BA24" s="332"/>
      <c r="BB24" s="52">
        <v>957</v>
      </c>
      <c r="BC24" s="52">
        <v>1026</v>
      </c>
      <c r="BD24" s="52">
        <v>972</v>
      </c>
      <c r="BE24" s="41">
        <f t="shared" si="23"/>
        <v>69</v>
      </c>
      <c r="BF24" s="41">
        <f t="shared" si="24"/>
        <v>8729.9440840630486</v>
      </c>
      <c r="BG24" s="60">
        <f t="shared" si="25"/>
        <v>40.5</v>
      </c>
      <c r="BH24" s="43">
        <v>0</v>
      </c>
      <c r="BI24" s="44">
        <v>0</v>
      </c>
      <c r="BJ24" s="45">
        <v>24</v>
      </c>
      <c r="BK24" s="47">
        <v>25.12</v>
      </c>
      <c r="BL24" s="47">
        <v>21.3</v>
      </c>
      <c r="BM24" s="47">
        <v>29</v>
      </c>
      <c r="BN24" s="45">
        <v>985.33</v>
      </c>
      <c r="BO24" s="45">
        <v>50.15</v>
      </c>
      <c r="BP24" s="48">
        <v>0.93069999999999997</v>
      </c>
      <c r="BQ24" s="54">
        <v>95.04</v>
      </c>
      <c r="BR24" s="54">
        <v>87.46</v>
      </c>
      <c r="BS24" s="55">
        <v>12317</v>
      </c>
      <c r="BT24" s="55">
        <v>12068</v>
      </c>
      <c r="BU24" s="51">
        <f t="shared" si="26"/>
        <v>-249</v>
      </c>
      <c r="BV24" s="41">
        <f t="shared" si="29"/>
        <v>0</v>
      </c>
      <c r="BW24" s="42">
        <v>0</v>
      </c>
      <c r="BX24" s="42">
        <v>0</v>
      </c>
      <c r="BZ24" s="42">
        <v>24</v>
      </c>
      <c r="CA24" s="42">
        <v>6.47</v>
      </c>
      <c r="CC24" s="42">
        <v>2.1</v>
      </c>
      <c r="CD24" s="42">
        <v>4.3</v>
      </c>
      <c r="CE24" s="42">
        <v>2</v>
      </c>
      <c r="CF24" s="42">
        <v>0</v>
      </c>
    </row>
    <row r="25" spans="1:84">
      <c r="A25" s="453"/>
      <c r="B25" s="24">
        <v>43331</v>
      </c>
      <c r="C25" s="25">
        <v>91.23</v>
      </c>
      <c r="D25" s="26">
        <v>0.67900000000000005</v>
      </c>
      <c r="E25" s="38">
        <v>79.569999999999993</v>
      </c>
      <c r="F25" s="28">
        <v>100</v>
      </c>
      <c r="G25" s="28">
        <v>82</v>
      </c>
      <c r="H25" s="27">
        <v>24</v>
      </c>
      <c r="I25" s="27">
        <v>0</v>
      </c>
      <c r="J25" s="27">
        <v>24</v>
      </c>
      <c r="K25" s="27">
        <v>0</v>
      </c>
      <c r="L25" s="29">
        <v>0</v>
      </c>
      <c r="M25" s="29">
        <v>0</v>
      </c>
      <c r="N25" s="29">
        <v>0</v>
      </c>
      <c r="O25" s="29">
        <v>0</v>
      </c>
      <c r="P25" s="29">
        <v>0</v>
      </c>
      <c r="Q25" s="253">
        <v>0</v>
      </c>
      <c r="R25" s="251">
        <v>3485</v>
      </c>
      <c r="S25" s="253">
        <v>2938</v>
      </c>
      <c r="T25" s="28">
        <v>2938</v>
      </c>
      <c r="U25" s="28">
        <v>2867</v>
      </c>
      <c r="V25" s="27">
        <v>2965</v>
      </c>
      <c r="W25" s="27">
        <v>40</v>
      </c>
      <c r="X25" s="27">
        <v>0</v>
      </c>
      <c r="Y25" s="27">
        <v>43</v>
      </c>
      <c r="Z25" s="29">
        <v>0</v>
      </c>
      <c r="AA25" s="29">
        <v>57</v>
      </c>
      <c r="AB25" s="29">
        <v>0</v>
      </c>
      <c r="AC25" s="32">
        <f t="shared" si="15"/>
        <v>98</v>
      </c>
      <c r="AD25" s="33">
        <f>U25-T25</f>
        <v>-71</v>
      </c>
      <c r="AE25" s="28">
        <v>126</v>
      </c>
      <c r="AF25" s="34">
        <f t="shared" si="27"/>
        <v>0.98048941798941802</v>
      </c>
      <c r="AG25" s="35">
        <f t="shared" si="17"/>
        <v>145.20833333333334</v>
      </c>
      <c r="AH25" s="34">
        <f t="shared" si="28"/>
        <v>0.82266857962697271</v>
      </c>
      <c r="AI25" s="226">
        <f t="shared" si="30"/>
        <v>1</v>
      </c>
      <c r="AJ25" s="37">
        <f t="shared" si="18"/>
        <v>0.88571428571428568</v>
      </c>
      <c r="AK25" s="236">
        <v>9.31</v>
      </c>
      <c r="AL25" s="239">
        <v>200.95</v>
      </c>
      <c r="AM25" s="38">
        <f t="shared" si="19"/>
        <v>1870.8444999999999</v>
      </c>
      <c r="AN25" s="235">
        <v>23.592580000000002</v>
      </c>
      <c r="AO25" s="330">
        <v>980.08907885445342</v>
      </c>
      <c r="AP25" s="39">
        <f t="shared" si="20"/>
        <v>23122.83</v>
      </c>
      <c r="AQ25" s="201">
        <f t="shared" si="21"/>
        <v>8717.7099755842355</v>
      </c>
      <c r="AR25" s="229">
        <f t="shared" si="22"/>
        <v>122.41666666666667</v>
      </c>
      <c r="AS25" s="13"/>
      <c r="AT25" s="27">
        <v>0</v>
      </c>
      <c r="AU25" s="40">
        <v>0</v>
      </c>
      <c r="AV25" s="40">
        <v>0</v>
      </c>
      <c r="AW25" s="27">
        <v>0</v>
      </c>
      <c r="AX25" s="40">
        <v>16</v>
      </c>
      <c r="AY25" s="27">
        <v>1440</v>
      </c>
      <c r="AZ25" s="27">
        <v>0</v>
      </c>
      <c r="BA25" s="332"/>
      <c r="BB25" s="52">
        <v>961</v>
      </c>
      <c r="BC25" s="52">
        <v>1028</v>
      </c>
      <c r="BD25" s="52">
        <v>976</v>
      </c>
      <c r="BE25" s="41">
        <f t="shared" si="23"/>
        <v>67</v>
      </c>
      <c r="BF25" s="41">
        <f t="shared" si="24"/>
        <v>8717.7099755842355</v>
      </c>
      <c r="BG25" s="60">
        <f t="shared" si="25"/>
        <v>40.666666666666664</v>
      </c>
      <c r="BH25" s="43">
        <v>0</v>
      </c>
      <c r="BI25" s="44">
        <v>0</v>
      </c>
      <c r="BJ25" s="45">
        <v>24</v>
      </c>
      <c r="BK25" s="47">
        <v>25.11</v>
      </c>
      <c r="BL25" s="47">
        <v>20.71</v>
      </c>
      <c r="BM25" s="47">
        <v>29.25</v>
      </c>
      <c r="BN25" s="45">
        <v>985.6</v>
      </c>
      <c r="BO25" s="45">
        <v>50.11</v>
      </c>
      <c r="BP25" s="48">
        <v>0.93079999999999996</v>
      </c>
      <c r="BQ25" s="54">
        <v>95.07</v>
      </c>
      <c r="BR25" s="54">
        <v>87.37</v>
      </c>
      <c r="BS25" s="55">
        <v>12263</v>
      </c>
      <c r="BT25" s="55">
        <v>11809</v>
      </c>
      <c r="BU25" s="51">
        <f t="shared" si="26"/>
        <v>-454</v>
      </c>
      <c r="BV25" s="41">
        <f t="shared" si="29"/>
        <v>0</v>
      </c>
      <c r="BW25" s="42">
        <v>0</v>
      </c>
      <c r="BX25" s="42">
        <v>0</v>
      </c>
      <c r="BZ25" s="42">
        <v>24</v>
      </c>
      <c r="CA25" s="42">
        <v>6.66</v>
      </c>
      <c r="CC25" s="42">
        <v>2.1</v>
      </c>
      <c r="CD25" s="42">
        <v>4.3</v>
      </c>
      <c r="CE25" s="42">
        <v>2.1</v>
      </c>
      <c r="CF25" s="42">
        <v>0</v>
      </c>
    </row>
    <row r="26" spans="1:84" ht="15" customHeight="1">
      <c r="A26" s="451" t="s">
        <v>262</v>
      </c>
      <c r="B26" s="24">
        <v>43332</v>
      </c>
      <c r="C26" s="157">
        <v>94.8</v>
      </c>
      <c r="D26" s="197">
        <v>0.65900000000000003</v>
      </c>
      <c r="E26" s="171">
        <v>81.558000000000007</v>
      </c>
      <c r="F26" s="160">
        <v>104</v>
      </c>
      <c r="G26" s="160">
        <v>86</v>
      </c>
      <c r="H26" s="160">
        <v>24</v>
      </c>
      <c r="I26" s="160">
        <v>0</v>
      </c>
      <c r="J26" s="160">
        <v>24</v>
      </c>
      <c r="K26" s="160">
        <v>0</v>
      </c>
      <c r="L26" s="188">
        <v>0</v>
      </c>
      <c r="M26" s="188">
        <v>0</v>
      </c>
      <c r="N26" s="188">
        <v>0</v>
      </c>
      <c r="O26" s="188">
        <v>0</v>
      </c>
      <c r="P26" s="188">
        <v>0</v>
      </c>
      <c r="Q26" s="262">
        <v>0</v>
      </c>
      <c r="R26" s="257">
        <v>3449</v>
      </c>
      <c r="S26" s="159">
        <v>2904</v>
      </c>
      <c r="T26" s="160">
        <v>2904</v>
      </c>
      <c r="U26" s="160">
        <v>2838</v>
      </c>
      <c r="V26" s="160">
        <v>2935</v>
      </c>
      <c r="W26" s="160">
        <v>40</v>
      </c>
      <c r="X26" s="160">
        <v>0</v>
      </c>
      <c r="Y26" s="160">
        <v>42</v>
      </c>
      <c r="Z26" s="188">
        <v>0</v>
      </c>
      <c r="AA26" s="188">
        <v>57</v>
      </c>
      <c r="AB26" s="188">
        <v>0</v>
      </c>
      <c r="AC26" s="165">
        <f t="shared" si="15"/>
        <v>97</v>
      </c>
      <c r="AD26" s="166">
        <f t="shared" si="16"/>
        <v>-66</v>
      </c>
      <c r="AE26" s="160">
        <v>124</v>
      </c>
      <c r="AF26" s="167">
        <f t="shared" si="27"/>
        <v>0.98622311827956988</v>
      </c>
      <c r="AG26" s="168">
        <f t="shared" si="17"/>
        <v>143.70833333333334</v>
      </c>
      <c r="AH26" s="167">
        <f t="shared" si="28"/>
        <v>0.82284720208756157</v>
      </c>
      <c r="AI26" s="169">
        <f t="shared" si="30"/>
        <v>1</v>
      </c>
      <c r="AJ26" s="170">
        <f t="shared" si="18"/>
        <v>0.87769784172661869</v>
      </c>
      <c r="AK26" s="273">
        <v>9.2050000000000001</v>
      </c>
      <c r="AL26" s="274">
        <v>197.86</v>
      </c>
      <c r="AM26" s="275">
        <f t="shared" si="19"/>
        <v>1821.3013000000001</v>
      </c>
      <c r="AN26" s="273">
        <v>23.356829999999999</v>
      </c>
      <c r="AO26" s="321">
        <v>982.00098215382832</v>
      </c>
      <c r="AP26" s="172">
        <f t="shared" si="20"/>
        <v>22936.43</v>
      </c>
      <c r="AQ26" s="202">
        <f t="shared" si="21"/>
        <v>8723.6544397462985</v>
      </c>
      <c r="AR26" s="199">
        <f t="shared" si="22"/>
        <v>121</v>
      </c>
      <c r="AS26" s="13"/>
      <c r="AT26" s="159">
        <v>0</v>
      </c>
      <c r="AU26" s="174">
        <v>0</v>
      </c>
      <c r="AV26" s="174">
        <v>0</v>
      </c>
      <c r="AW26" s="159">
        <v>0</v>
      </c>
      <c r="AX26" s="174">
        <v>17</v>
      </c>
      <c r="AY26" s="159">
        <v>1440</v>
      </c>
      <c r="AZ26" s="159">
        <v>0</v>
      </c>
      <c r="BA26" s="332"/>
      <c r="BB26" s="175">
        <v>950</v>
      </c>
      <c r="BC26" s="175">
        <v>1018</v>
      </c>
      <c r="BD26" s="175">
        <v>967</v>
      </c>
      <c r="BE26" s="175">
        <f t="shared" si="23"/>
        <v>68</v>
      </c>
      <c r="BF26" s="175">
        <f t="shared" si="24"/>
        <v>8723.6544397462985</v>
      </c>
      <c r="BG26" s="177">
        <f t="shared" si="25"/>
        <v>40.291666666666664</v>
      </c>
      <c r="BH26" s="191">
        <v>0</v>
      </c>
      <c r="BI26" s="155">
        <v>0</v>
      </c>
      <c r="BJ26" s="181">
        <v>24</v>
      </c>
      <c r="BK26" s="192">
        <v>24.89</v>
      </c>
      <c r="BL26" s="192">
        <v>20.88</v>
      </c>
      <c r="BM26" s="192">
        <v>29.07</v>
      </c>
      <c r="BN26" s="192">
        <v>986</v>
      </c>
      <c r="BO26" s="192">
        <v>50.13</v>
      </c>
      <c r="BP26" s="193">
        <v>0.93049999999999999</v>
      </c>
      <c r="BQ26" s="194">
        <v>94.92</v>
      </c>
      <c r="BR26" s="194">
        <v>87.49</v>
      </c>
      <c r="BS26" s="194">
        <v>12295</v>
      </c>
      <c r="BT26" s="194">
        <v>11992</v>
      </c>
      <c r="BU26" s="51">
        <f t="shared" si="26"/>
        <v>-303</v>
      </c>
      <c r="BV26" s="175">
        <f t="shared" si="29"/>
        <v>0</v>
      </c>
      <c r="BW26" s="177">
        <v>0</v>
      </c>
      <c r="BX26" s="177">
        <v>0</v>
      </c>
      <c r="BZ26" s="177">
        <v>24</v>
      </c>
      <c r="CA26" s="177">
        <v>6.5</v>
      </c>
      <c r="CC26" s="177">
        <v>2.1</v>
      </c>
      <c r="CD26" s="177">
        <v>4.3</v>
      </c>
      <c r="CE26" s="177">
        <v>2.1</v>
      </c>
      <c r="CF26" s="177">
        <v>0</v>
      </c>
    </row>
    <row r="27" spans="1:84">
      <c r="A27" s="452"/>
      <c r="B27" s="24">
        <v>43333</v>
      </c>
      <c r="C27" s="157">
        <v>95.22</v>
      </c>
      <c r="D27" s="197">
        <v>0.64239999999999997</v>
      </c>
      <c r="E27" s="171">
        <v>81.34</v>
      </c>
      <c r="F27" s="160">
        <v>104</v>
      </c>
      <c r="G27" s="160">
        <v>89</v>
      </c>
      <c r="H27" s="356">
        <v>20</v>
      </c>
      <c r="I27" s="356">
        <v>3</v>
      </c>
      <c r="J27" s="356">
        <v>20</v>
      </c>
      <c r="K27" s="356">
        <v>1</v>
      </c>
      <c r="L27" s="357">
        <v>0</v>
      </c>
      <c r="M27" s="188">
        <v>0</v>
      </c>
      <c r="N27" s="188">
        <v>0</v>
      </c>
      <c r="O27" s="188">
        <v>0</v>
      </c>
      <c r="P27" s="188">
        <v>0</v>
      </c>
      <c r="Q27" s="262">
        <v>0</v>
      </c>
      <c r="R27" s="257">
        <v>3446</v>
      </c>
      <c r="S27" s="159">
        <v>2700</v>
      </c>
      <c r="T27" s="160">
        <v>2700</v>
      </c>
      <c r="U27" s="160">
        <v>2595</v>
      </c>
      <c r="V27" s="160">
        <v>2692</v>
      </c>
      <c r="W27" s="160">
        <v>38</v>
      </c>
      <c r="X27" s="160">
        <v>0</v>
      </c>
      <c r="Y27" s="160">
        <v>40</v>
      </c>
      <c r="Z27" s="188">
        <v>0</v>
      </c>
      <c r="AA27" s="188">
        <v>57</v>
      </c>
      <c r="AB27" s="356">
        <v>228</v>
      </c>
      <c r="AC27" s="165">
        <f t="shared" si="15"/>
        <v>97</v>
      </c>
      <c r="AD27" s="166">
        <f t="shared" si="16"/>
        <v>-105</v>
      </c>
      <c r="AE27" s="160">
        <v>124</v>
      </c>
      <c r="AF27" s="167">
        <f t="shared" si="27"/>
        <v>0.90456989247311825</v>
      </c>
      <c r="AG27" s="168">
        <f t="shared" si="17"/>
        <v>143.58333333333334</v>
      </c>
      <c r="AH27" s="167">
        <f t="shared" si="28"/>
        <v>0.753047011027278</v>
      </c>
      <c r="AI27" s="169">
        <f t="shared" si="30"/>
        <v>0.93314814814814817</v>
      </c>
      <c r="AJ27" s="170">
        <f t="shared" si="18"/>
        <v>0.76771604938271609</v>
      </c>
      <c r="AK27" s="273">
        <v>5.8220000000000001</v>
      </c>
      <c r="AL27" s="274">
        <v>202.7</v>
      </c>
      <c r="AM27" s="275">
        <f t="shared" si="19"/>
        <v>1180.1194</v>
      </c>
      <c r="AN27" s="273">
        <v>22.541229999999999</v>
      </c>
      <c r="AO27" s="321">
        <v>983.70452721524077</v>
      </c>
      <c r="AP27" s="172">
        <f t="shared" si="20"/>
        <v>22173.91</v>
      </c>
      <c r="AQ27" s="202">
        <f t="shared" si="21"/>
        <v>8999.6259730250476</v>
      </c>
      <c r="AR27" s="199">
        <f>IF(S27&gt;0,(S27/24), "no data")</f>
        <v>112.5</v>
      </c>
      <c r="AS27" s="13"/>
      <c r="AT27" s="359">
        <v>9</v>
      </c>
      <c r="AU27" s="358">
        <v>237</v>
      </c>
      <c r="AV27" s="359">
        <v>9</v>
      </c>
      <c r="AW27" s="359">
        <v>239</v>
      </c>
      <c r="AX27" s="358">
        <v>23</v>
      </c>
      <c r="AY27" s="359">
        <v>1212</v>
      </c>
      <c r="AZ27" s="159">
        <v>0</v>
      </c>
      <c r="BA27" s="332"/>
      <c r="BB27" s="175">
        <v>912</v>
      </c>
      <c r="BC27" s="175">
        <v>970</v>
      </c>
      <c r="BD27" s="175">
        <v>810</v>
      </c>
      <c r="BE27" s="175">
        <f t="shared" si="23"/>
        <v>58</v>
      </c>
      <c r="BF27" s="175">
        <f t="shared" si="24"/>
        <v>8999.6259730250476</v>
      </c>
      <c r="BG27" s="177">
        <f t="shared" si="25"/>
        <v>33.75</v>
      </c>
      <c r="BH27" s="191">
        <v>0</v>
      </c>
      <c r="BI27" s="155">
        <v>0</v>
      </c>
      <c r="BJ27" s="181">
        <v>24</v>
      </c>
      <c r="BK27" s="192">
        <v>24.14</v>
      </c>
      <c r="BL27" s="192">
        <v>20.309999999999999</v>
      </c>
      <c r="BM27" s="192">
        <v>28.88</v>
      </c>
      <c r="BN27" s="181">
        <v>986</v>
      </c>
      <c r="BO27" s="192">
        <v>50.1</v>
      </c>
      <c r="BP27" s="193">
        <v>0.9304</v>
      </c>
      <c r="BQ27" s="194">
        <v>94.44</v>
      </c>
      <c r="BR27" s="194">
        <v>87.45</v>
      </c>
      <c r="BS27" s="194">
        <v>12272</v>
      </c>
      <c r="BT27" s="194">
        <v>12072</v>
      </c>
      <c r="BU27" s="51">
        <f t="shared" si="26"/>
        <v>-200</v>
      </c>
      <c r="BV27" s="175">
        <f t="shared" si="29"/>
        <v>0</v>
      </c>
      <c r="BW27" s="177">
        <v>0</v>
      </c>
      <c r="BX27" s="177">
        <v>0</v>
      </c>
      <c r="BZ27" s="177">
        <v>20.8</v>
      </c>
      <c r="CA27" s="177">
        <v>7.1</v>
      </c>
      <c r="CC27" s="177">
        <v>2.1</v>
      </c>
      <c r="CD27" s="177">
        <v>4.4000000000000004</v>
      </c>
      <c r="CE27" s="177">
        <v>2.1</v>
      </c>
      <c r="CF27" s="177">
        <v>0</v>
      </c>
    </row>
    <row r="28" spans="1:84">
      <c r="A28" s="452"/>
      <c r="B28" s="24">
        <v>43334</v>
      </c>
      <c r="C28" s="157">
        <v>95</v>
      </c>
      <c r="D28" s="197">
        <v>0.65</v>
      </c>
      <c r="E28" s="171">
        <v>81</v>
      </c>
      <c r="F28" s="160">
        <v>104</v>
      </c>
      <c r="G28" s="160">
        <v>86</v>
      </c>
      <c r="H28" s="356">
        <v>24</v>
      </c>
      <c r="I28" s="356">
        <v>0</v>
      </c>
      <c r="J28" s="356">
        <v>24</v>
      </c>
      <c r="K28" s="356">
        <v>0</v>
      </c>
      <c r="L28" s="357">
        <v>0</v>
      </c>
      <c r="M28" s="188">
        <v>0</v>
      </c>
      <c r="N28" s="188">
        <v>0</v>
      </c>
      <c r="O28" s="188">
        <v>0</v>
      </c>
      <c r="P28" s="188">
        <v>0</v>
      </c>
      <c r="Q28" s="262">
        <v>0</v>
      </c>
      <c r="R28" s="257">
        <v>3454</v>
      </c>
      <c r="S28" s="159">
        <v>2906</v>
      </c>
      <c r="T28" s="160">
        <v>2906</v>
      </c>
      <c r="U28" s="160">
        <v>2838</v>
      </c>
      <c r="V28" s="160">
        <v>2935</v>
      </c>
      <c r="W28" s="160">
        <v>40</v>
      </c>
      <c r="X28" s="160">
        <v>0</v>
      </c>
      <c r="Y28" s="160">
        <v>42</v>
      </c>
      <c r="Z28" s="258">
        <v>0</v>
      </c>
      <c r="AA28" s="188">
        <v>57</v>
      </c>
      <c r="AB28" s="188">
        <v>0</v>
      </c>
      <c r="AC28" s="165">
        <f t="shared" si="15"/>
        <v>97</v>
      </c>
      <c r="AD28" s="166">
        <f>U28-T28</f>
        <v>-68</v>
      </c>
      <c r="AE28" s="160">
        <v>123</v>
      </c>
      <c r="AF28" s="167">
        <f t="shared" si="27"/>
        <v>0.9942411924119241</v>
      </c>
      <c r="AG28" s="168">
        <f t="shared" si="17"/>
        <v>143.91666666666666</v>
      </c>
      <c r="AH28" s="167">
        <f t="shared" si="28"/>
        <v>0.82165605095541405</v>
      </c>
      <c r="AI28" s="169">
        <f t="shared" si="30"/>
        <v>1</v>
      </c>
      <c r="AJ28" s="170">
        <f t="shared" si="18"/>
        <v>0.87769784172661869</v>
      </c>
      <c r="AK28" s="273">
        <v>9.3989999999999991</v>
      </c>
      <c r="AL28" s="274">
        <v>202.86</v>
      </c>
      <c r="AM28" s="275">
        <f t="shared" si="19"/>
        <v>1906.6811399999999</v>
      </c>
      <c r="AN28" s="273">
        <v>23.360479999999999</v>
      </c>
      <c r="AO28" s="276">
        <v>982.94555591323478</v>
      </c>
      <c r="AP28" s="172">
        <f t="shared" si="20"/>
        <v>22962.080000000002</v>
      </c>
      <c r="AQ28" s="202">
        <f t="shared" si="21"/>
        <v>8762.777004933052</v>
      </c>
      <c r="AR28" s="199">
        <f t="shared" si="22"/>
        <v>121.08333333333333</v>
      </c>
      <c r="AS28" s="13"/>
      <c r="AT28" s="159">
        <v>0</v>
      </c>
      <c r="AU28" s="174">
        <v>0</v>
      </c>
      <c r="AV28" s="174">
        <v>0</v>
      </c>
      <c r="AW28" s="159">
        <v>0</v>
      </c>
      <c r="AX28" s="174">
        <v>17</v>
      </c>
      <c r="AY28" s="159">
        <v>1440</v>
      </c>
      <c r="AZ28" s="159">
        <v>0</v>
      </c>
      <c r="BA28" s="332"/>
      <c r="BB28" s="175">
        <v>949</v>
      </c>
      <c r="BC28" s="175">
        <v>1018</v>
      </c>
      <c r="BD28" s="175">
        <v>968</v>
      </c>
      <c r="BE28" s="175">
        <f t="shared" si="23"/>
        <v>69</v>
      </c>
      <c r="BF28" s="175">
        <f t="shared" si="24"/>
        <v>8762.777004933052</v>
      </c>
      <c r="BG28" s="177">
        <f t="shared" si="25"/>
        <v>40.333333333333336</v>
      </c>
      <c r="BH28" s="191">
        <v>0</v>
      </c>
      <c r="BI28" s="191">
        <v>0</v>
      </c>
      <c r="BJ28" s="181">
        <v>24</v>
      </c>
      <c r="BK28" s="192">
        <v>24.81</v>
      </c>
      <c r="BL28" s="192">
        <v>21.15</v>
      </c>
      <c r="BM28" s="192">
        <v>28.59</v>
      </c>
      <c r="BN28" s="195">
        <v>986</v>
      </c>
      <c r="BO28" s="181">
        <v>50.07</v>
      </c>
      <c r="BP28" s="193">
        <v>0.93130000000000002</v>
      </c>
      <c r="BQ28" s="194">
        <v>94.65</v>
      </c>
      <c r="BR28" s="194">
        <v>87.4</v>
      </c>
      <c r="BS28" s="194">
        <v>12263</v>
      </c>
      <c r="BT28" s="194">
        <v>12072</v>
      </c>
      <c r="BU28" s="51">
        <f t="shared" si="26"/>
        <v>-191</v>
      </c>
      <c r="BV28" s="175">
        <f t="shared" si="29"/>
        <v>0</v>
      </c>
      <c r="BW28" s="177">
        <v>0</v>
      </c>
      <c r="BX28" s="177">
        <v>0</v>
      </c>
      <c r="BZ28" s="177">
        <v>24</v>
      </c>
      <c r="CA28" s="177">
        <v>6.3</v>
      </c>
      <c r="CC28" s="177">
        <v>2.1</v>
      </c>
      <c r="CD28" s="177">
        <v>4.2</v>
      </c>
      <c r="CE28" s="177">
        <v>2.1</v>
      </c>
      <c r="CF28" s="177">
        <v>0</v>
      </c>
    </row>
    <row r="29" spans="1:84">
      <c r="A29" s="452"/>
      <c r="B29" s="24">
        <v>43335</v>
      </c>
      <c r="C29" s="157">
        <v>93.4</v>
      </c>
      <c r="D29" s="197">
        <v>0.66</v>
      </c>
      <c r="E29" s="171">
        <v>80</v>
      </c>
      <c r="F29" s="160">
        <v>99</v>
      </c>
      <c r="G29" s="160">
        <v>88</v>
      </c>
      <c r="H29" s="356">
        <v>24</v>
      </c>
      <c r="I29" s="356">
        <v>0</v>
      </c>
      <c r="J29" s="356">
        <v>24</v>
      </c>
      <c r="K29" s="356">
        <v>0</v>
      </c>
      <c r="L29" s="357">
        <v>0</v>
      </c>
      <c r="M29" s="188">
        <v>0</v>
      </c>
      <c r="N29" s="188">
        <v>0</v>
      </c>
      <c r="O29" s="188">
        <v>0</v>
      </c>
      <c r="P29" s="188">
        <v>0</v>
      </c>
      <c r="Q29" s="262">
        <v>0</v>
      </c>
      <c r="R29" s="259">
        <v>3463</v>
      </c>
      <c r="S29" s="159">
        <v>2918</v>
      </c>
      <c r="T29" s="160">
        <v>2918</v>
      </c>
      <c r="U29" s="160">
        <v>2846</v>
      </c>
      <c r="V29" s="160">
        <v>2941</v>
      </c>
      <c r="W29" s="160">
        <v>40</v>
      </c>
      <c r="X29" s="160">
        <v>0</v>
      </c>
      <c r="Y29" s="160">
        <v>43</v>
      </c>
      <c r="Z29" s="188">
        <v>0</v>
      </c>
      <c r="AA29" s="188">
        <v>57</v>
      </c>
      <c r="AB29" s="188">
        <v>0</v>
      </c>
      <c r="AC29" s="165">
        <f t="shared" si="15"/>
        <v>95</v>
      </c>
      <c r="AD29" s="166">
        <f t="shared" si="16"/>
        <v>-72</v>
      </c>
      <c r="AE29" s="160">
        <v>124</v>
      </c>
      <c r="AF29" s="167">
        <f t="shared" si="27"/>
        <v>0.988239247311828</v>
      </c>
      <c r="AG29" s="168">
        <f t="shared" si="17"/>
        <v>144.29166666666666</v>
      </c>
      <c r="AH29" s="167">
        <f t="shared" si="28"/>
        <v>0.8218307825584753</v>
      </c>
      <c r="AI29" s="169">
        <f t="shared" si="30"/>
        <v>1</v>
      </c>
      <c r="AJ29" s="170">
        <f>IF(U29&gt;0,(1440-((X29*W29+AT29*AU29)+(Z29*Y29+AV29*AW29)+(AA29*AB29+AX29*AY29))/(W29+Y29+AA29))/1440,"no data")</f>
        <v>0.87857142857142856</v>
      </c>
      <c r="AK29" s="273">
        <v>9.4019999999999992</v>
      </c>
      <c r="AL29" s="274">
        <v>199.9</v>
      </c>
      <c r="AM29" s="275">
        <f t="shared" si="19"/>
        <v>1879.4597999999999</v>
      </c>
      <c r="AN29" s="273">
        <v>23.426869</v>
      </c>
      <c r="AO29" s="276">
        <v>982.35065044330088</v>
      </c>
      <c r="AP29" s="172">
        <f t="shared" si="20"/>
        <v>23013.4</v>
      </c>
      <c r="AQ29" s="202">
        <f t="shared" si="21"/>
        <v>8746.6127196064663</v>
      </c>
      <c r="AR29" s="199">
        <f t="shared" si="22"/>
        <v>121.58333333333333</v>
      </c>
      <c r="AS29" s="13"/>
      <c r="AT29" s="159">
        <v>0</v>
      </c>
      <c r="AU29" s="174">
        <v>0</v>
      </c>
      <c r="AV29" s="174">
        <v>0</v>
      </c>
      <c r="AW29" s="159">
        <v>0</v>
      </c>
      <c r="AX29" s="174">
        <v>17</v>
      </c>
      <c r="AY29" s="159">
        <v>1440</v>
      </c>
      <c r="AZ29" s="159">
        <v>0</v>
      </c>
      <c r="BA29" s="332"/>
      <c r="BB29" s="175">
        <v>952</v>
      </c>
      <c r="BC29" s="175">
        <v>1020</v>
      </c>
      <c r="BD29" s="175">
        <v>969</v>
      </c>
      <c r="BE29" s="175">
        <f t="shared" si="23"/>
        <v>68</v>
      </c>
      <c r="BF29" s="175">
        <f t="shared" si="24"/>
        <v>8746.6127196064663</v>
      </c>
      <c r="BG29" s="177">
        <f t="shared" si="25"/>
        <v>40.375</v>
      </c>
      <c r="BH29" s="191">
        <v>0</v>
      </c>
      <c r="BI29" s="155">
        <v>0</v>
      </c>
      <c r="BJ29" s="260">
        <v>24</v>
      </c>
      <c r="BK29" s="181">
        <v>24.89</v>
      </c>
      <c r="BL29" s="192">
        <v>21.27</v>
      </c>
      <c r="BM29" s="195">
        <v>28.81</v>
      </c>
      <c r="BN29" s="192">
        <v>985.2</v>
      </c>
      <c r="BO29" s="192">
        <v>50.09</v>
      </c>
      <c r="BP29" s="193">
        <v>0.92969999999999997</v>
      </c>
      <c r="BQ29" s="194">
        <v>94.7</v>
      </c>
      <c r="BR29" s="181">
        <v>87.4</v>
      </c>
      <c r="BS29" s="194">
        <v>12260</v>
      </c>
      <c r="BT29" s="175">
        <v>12090</v>
      </c>
      <c r="BU29" s="51">
        <f t="shared" si="26"/>
        <v>-170</v>
      </c>
      <c r="BV29" s="175">
        <f t="shared" si="29"/>
        <v>0</v>
      </c>
      <c r="BW29" s="177">
        <v>0</v>
      </c>
      <c r="BX29" s="177">
        <v>0</v>
      </c>
      <c r="BZ29" s="177">
        <v>24</v>
      </c>
      <c r="CA29" s="177">
        <v>6.8</v>
      </c>
      <c r="CC29" s="177">
        <v>2.1</v>
      </c>
      <c r="CD29" s="177">
        <v>4.4000000000000004</v>
      </c>
      <c r="CE29" s="177">
        <v>2.1</v>
      </c>
      <c r="CF29" s="177">
        <v>0</v>
      </c>
    </row>
    <row r="30" spans="1:84">
      <c r="A30" s="452"/>
      <c r="B30" s="24">
        <v>43336</v>
      </c>
      <c r="C30" s="157">
        <v>92</v>
      </c>
      <c r="D30" s="197">
        <v>0.67</v>
      </c>
      <c r="E30" s="171">
        <v>78</v>
      </c>
      <c r="F30" s="160">
        <v>99</v>
      </c>
      <c r="G30" s="160">
        <v>86</v>
      </c>
      <c r="H30" s="160">
        <v>24</v>
      </c>
      <c r="I30" s="160">
        <v>0</v>
      </c>
      <c r="J30" s="160">
        <v>24</v>
      </c>
      <c r="K30" s="160">
        <v>0</v>
      </c>
      <c r="L30" s="187">
        <v>0</v>
      </c>
      <c r="M30" s="187">
        <v>0</v>
      </c>
      <c r="N30" s="187">
        <v>0</v>
      </c>
      <c r="O30" s="187">
        <v>0</v>
      </c>
      <c r="P30" s="187">
        <v>0</v>
      </c>
      <c r="Q30" s="262">
        <v>0</v>
      </c>
      <c r="R30" s="257">
        <v>3477</v>
      </c>
      <c r="S30" s="262">
        <v>2830</v>
      </c>
      <c r="T30" s="160">
        <v>2830</v>
      </c>
      <c r="U30" s="160">
        <v>2761</v>
      </c>
      <c r="V30" s="160">
        <v>2859</v>
      </c>
      <c r="W30" s="160">
        <v>36</v>
      </c>
      <c r="X30" s="160">
        <v>0</v>
      </c>
      <c r="Y30" s="160">
        <v>43</v>
      </c>
      <c r="Z30" s="187">
        <v>0</v>
      </c>
      <c r="AA30" s="187">
        <v>57</v>
      </c>
      <c r="AB30" s="187">
        <v>0</v>
      </c>
      <c r="AC30" s="165">
        <f t="shared" si="15"/>
        <v>98</v>
      </c>
      <c r="AD30" s="166">
        <f t="shared" si="16"/>
        <v>-69</v>
      </c>
      <c r="AE30" s="160">
        <v>125</v>
      </c>
      <c r="AF30" s="167">
        <f t="shared" si="27"/>
        <v>0.95299999999999996</v>
      </c>
      <c r="AG30" s="168">
        <f t="shared" si="17"/>
        <v>144.875</v>
      </c>
      <c r="AH30" s="167">
        <f t="shared" si="28"/>
        <v>0.79407535231521431</v>
      </c>
      <c r="AI30" s="169">
        <f t="shared" si="30"/>
        <v>1</v>
      </c>
      <c r="AJ30" s="170">
        <f t="shared" si="18"/>
        <v>0.875</v>
      </c>
      <c r="AK30" s="306">
        <v>9.2260000000000009</v>
      </c>
      <c r="AL30" s="307">
        <v>197.01</v>
      </c>
      <c r="AM30" s="171">
        <f t="shared" si="19"/>
        <v>1817.6142600000001</v>
      </c>
      <c r="AN30" s="306">
        <v>22.777618999999998</v>
      </c>
      <c r="AO30" s="335">
        <v>980.11385650098032</v>
      </c>
      <c r="AP30" s="172">
        <f t="shared" si="20"/>
        <v>22324.66</v>
      </c>
      <c r="AQ30" s="202">
        <f t="shared" si="21"/>
        <v>8744.0326910539643</v>
      </c>
      <c r="AR30" s="199">
        <f t="shared" si="22"/>
        <v>117.91666666666667</v>
      </c>
      <c r="AS30" s="13"/>
      <c r="AT30" s="159">
        <v>0</v>
      </c>
      <c r="AU30" s="174">
        <v>0</v>
      </c>
      <c r="AV30" s="174">
        <v>0</v>
      </c>
      <c r="AW30" s="159">
        <v>0</v>
      </c>
      <c r="AX30" s="174">
        <v>17</v>
      </c>
      <c r="AY30" s="159">
        <v>1440</v>
      </c>
      <c r="AZ30" s="159">
        <v>0</v>
      </c>
      <c r="BA30" s="332"/>
      <c r="BB30" s="175">
        <v>866</v>
      </c>
      <c r="BC30" s="175">
        <v>1031</v>
      </c>
      <c r="BD30" s="175">
        <v>962</v>
      </c>
      <c r="BE30" s="175">
        <f t="shared" si="23"/>
        <v>165</v>
      </c>
      <c r="BF30" s="175">
        <f t="shared" si="24"/>
        <v>8744.0326910539643</v>
      </c>
      <c r="BG30" s="177">
        <f t="shared" si="25"/>
        <v>40.083333333333336</v>
      </c>
      <c r="BH30" s="191">
        <v>0</v>
      </c>
      <c r="BI30" s="155">
        <v>0</v>
      </c>
      <c r="BJ30" s="181">
        <v>24</v>
      </c>
      <c r="BK30" s="192">
        <v>23.42</v>
      </c>
      <c r="BL30" s="192">
        <v>21.46</v>
      </c>
      <c r="BM30" s="192">
        <v>28.67</v>
      </c>
      <c r="BN30" s="195">
        <v>984.9</v>
      </c>
      <c r="BO30" s="181">
        <v>50.14</v>
      </c>
      <c r="BP30" s="193">
        <v>0.92920000000000003</v>
      </c>
      <c r="BQ30" s="194">
        <v>86.43</v>
      </c>
      <c r="BR30" s="181">
        <v>87.3</v>
      </c>
      <c r="BS30" s="194">
        <v>12680</v>
      </c>
      <c r="BT30" s="175">
        <v>12079</v>
      </c>
      <c r="BU30" s="51">
        <f t="shared" si="26"/>
        <v>-601</v>
      </c>
      <c r="BV30" s="175">
        <f t="shared" si="29"/>
        <v>0</v>
      </c>
      <c r="BW30" s="177">
        <v>0</v>
      </c>
      <c r="BX30" s="177">
        <v>0</v>
      </c>
      <c r="BZ30" s="177">
        <v>2.8</v>
      </c>
      <c r="CA30" s="177">
        <v>5.2</v>
      </c>
      <c r="CC30" s="177">
        <v>2.1</v>
      </c>
      <c r="CD30" s="177">
        <v>4</v>
      </c>
      <c r="CE30" s="177">
        <v>2.1</v>
      </c>
      <c r="CF30" s="177">
        <v>0</v>
      </c>
    </row>
    <row r="31" spans="1:84">
      <c r="A31" s="452"/>
      <c r="B31" s="24">
        <v>43337</v>
      </c>
      <c r="C31" s="157">
        <v>91.7</v>
      </c>
      <c r="D31" s="197">
        <v>0.65400000000000003</v>
      </c>
      <c r="E31" s="171">
        <v>78.7</v>
      </c>
      <c r="F31" s="159">
        <v>99</v>
      </c>
      <c r="G31" s="159">
        <v>86</v>
      </c>
      <c r="H31" s="160">
        <v>24</v>
      </c>
      <c r="I31" s="160">
        <v>0</v>
      </c>
      <c r="J31" s="160">
        <v>24</v>
      </c>
      <c r="K31" s="160">
        <v>0</v>
      </c>
      <c r="L31" s="187">
        <v>0</v>
      </c>
      <c r="M31" s="187">
        <v>0</v>
      </c>
      <c r="N31" s="187">
        <v>0</v>
      </c>
      <c r="O31" s="187">
        <v>0</v>
      </c>
      <c r="P31" s="187">
        <v>0</v>
      </c>
      <c r="Q31" s="262">
        <v>0</v>
      </c>
      <c r="R31" s="259">
        <v>3485</v>
      </c>
      <c r="S31" s="262">
        <v>2837</v>
      </c>
      <c r="T31" s="159">
        <v>2837</v>
      </c>
      <c r="U31" s="159">
        <v>2767</v>
      </c>
      <c r="V31" s="160">
        <v>2863</v>
      </c>
      <c r="W31" s="160">
        <v>36</v>
      </c>
      <c r="X31" s="160">
        <v>0</v>
      </c>
      <c r="Y31" s="160">
        <v>43</v>
      </c>
      <c r="Z31" s="187">
        <v>0</v>
      </c>
      <c r="AA31" s="187">
        <v>57</v>
      </c>
      <c r="AB31" s="187">
        <v>0</v>
      </c>
      <c r="AC31" s="165">
        <f t="shared" si="15"/>
        <v>96</v>
      </c>
      <c r="AD31" s="166">
        <f t="shared" si="16"/>
        <v>-70</v>
      </c>
      <c r="AE31" s="160">
        <v>123</v>
      </c>
      <c r="AF31" s="167">
        <f t="shared" si="27"/>
        <v>0.96985094850948506</v>
      </c>
      <c r="AG31" s="168">
        <f t="shared" si="17"/>
        <v>145.20833333333334</v>
      </c>
      <c r="AH31" s="167">
        <f t="shared" si="28"/>
        <v>0.79397417503586798</v>
      </c>
      <c r="AI31" s="169">
        <f t="shared" si="30"/>
        <v>1</v>
      </c>
      <c r="AJ31" s="170">
        <f t="shared" si="18"/>
        <v>0.875</v>
      </c>
      <c r="AK31" s="273">
        <v>9.2910000000000004</v>
      </c>
      <c r="AL31" s="274">
        <v>197.75</v>
      </c>
      <c r="AM31" s="275">
        <f t="shared" si="19"/>
        <v>1837.2952500000001</v>
      </c>
      <c r="AN31" s="273">
        <v>22.790789</v>
      </c>
      <c r="AO31" s="321">
        <v>979.40224886466183</v>
      </c>
      <c r="AP31" s="172">
        <f t="shared" si="20"/>
        <v>22321.35</v>
      </c>
      <c r="AQ31" s="202">
        <f t="shared" si="21"/>
        <v>8730.9885254788569</v>
      </c>
      <c r="AR31" s="199">
        <f t="shared" si="22"/>
        <v>118.20833333333333</v>
      </c>
      <c r="AS31" s="13"/>
      <c r="AT31" s="159">
        <v>0</v>
      </c>
      <c r="AU31" s="174">
        <v>0</v>
      </c>
      <c r="AV31" s="159">
        <v>0</v>
      </c>
      <c r="AW31" s="159">
        <v>0</v>
      </c>
      <c r="AX31" s="174">
        <v>17</v>
      </c>
      <c r="AY31" s="159">
        <v>1440</v>
      </c>
      <c r="AZ31" s="159">
        <v>0</v>
      </c>
      <c r="BA31" s="332"/>
      <c r="BB31" s="175">
        <v>868</v>
      </c>
      <c r="BC31" s="175">
        <v>1031</v>
      </c>
      <c r="BD31" s="175">
        <v>964</v>
      </c>
      <c r="BE31" s="175">
        <f t="shared" si="23"/>
        <v>163</v>
      </c>
      <c r="BF31" s="175">
        <f t="shared" si="24"/>
        <v>8730.9885254788569</v>
      </c>
      <c r="BG31" s="177">
        <f t="shared" si="25"/>
        <v>40.166666666666664</v>
      </c>
      <c r="BH31" s="191">
        <v>0</v>
      </c>
      <c r="BI31" s="155">
        <v>0</v>
      </c>
      <c r="BJ31" s="181">
        <v>22.4</v>
      </c>
      <c r="BK31" s="192">
        <v>23.45</v>
      </c>
      <c r="BL31" s="192">
        <v>21.48</v>
      </c>
      <c r="BM31" s="192">
        <v>28.73</v>
      </c>
      <c r="BN31" s="192">
        <v>984.75</v>
      </c>
      <c r="BO31" s="192">
        <v>50.15</v>
      </c>
      <c r="BP31" s="193">
        <v>0.92930000000000001</v>
      </c>
      <c r="BQ31" s="192">
        <v>86.18</v>
      </c>
      <c r="BR31" s="181">
        <v>87.21</v>
      </c>
      <c r="BS31" s="175">
        <v>12670</v>
      </c>
      <c r="BT31" s="175">
        <v>12057</v>
      </c>
      <c r="BU31" s="51">
        <f t="shared" si="26"/>
        <v>-613</v>
      </c>
      <c r="BV31" s="175">
        <f t="shared" si="29"/>
        <v>0</v>
      </c>
      <c r="BW31" s="177">
        <v>0</v>
      </c>
      <c r="BX31" s="177">
        <v>0</v>
      </c>
      <c r="BZ31" s="177">
        <v>2.3199999999999998</v>
      </c>
      <c r="CA31" s="177">
        <v>0</v>
      </c>
      <c r="CC31" s="177">
        <v>2.1</v>
      </c>
      <c r="CD31" s="177">
        <v>4</v>
      </c>
      <c r="CE31" s="177">
        <v>2.1</v>
      </c>
      <c r="CF31" s="177">
        <v>0</v>
      </c>
    </row>
    <row r="32" spans="1:84">
      <c r="A32" s="453"/>
      <c r="B32" s="24">
        <v>43338</v>
      </c>
      <c r="C32" s="157">
        <v>91.3</v>
      </c>
      <c r="D32" s="197">
        <v>0.65500000000000003</v>
      </c>
      <c r="E32" s="171">
        <v>78.2</v>
      </c>
      <c r="F32" s="159">
        <v>99</v>
      </c>
      <c r="G32" s="159">
        <v>86</v>
      </c>
      <c r="H32" s="160">
        <v>24</v>
      </c>
      <c r="I32" s="160">
        <v>0</v>
      </c>
      <c r="J32" s="160">
        <v>24</v>
      </c>
      <c r="K32" s="160">
        <v>0</v>
      </c>
      <c r="L32" s="187">
        <v>0</v>
      </c>
      <c r="M32" s="187">
        <v>0</v>
      </c>
      <c r="N32" s="187">
        <v>0</v>
      </c>
      <c r="O32" s="187">
        <v>0</v>
      </c>
      <c r="P32" s="187">
        <v>0</v>
      </c>
      <c r="Q32" s="262">
        <v>0</v>
      </c>
      <c r="R32" s="257">
        <v>3485</v>
      </c>
      <c r="S32" s="262">
        <v>2943</v>
      </c>
      <c r="T32" s="262">
        <v>2943</v>
      </c>
      <c r="U32" s="262">
        <v>2872</v>
      </c>
      <c r="V32" s="263">
        <v>2970</v>
      </c>
      <c r="W32" s="160">
        <v>40</v>
      </c>
      <c r="X32" s="160">
        <v>0</v>
      </c>
      <c r="Y32" s="160">
        <v>43</v>
      </c>
      <c r="Z32" s="187">
        <v>0</v>
      </c>
      <c r="AA32" s="187">
        <v>57</v>
      </c>
      <c r="AB32" s="187">
        <v>0</v>
      </c>
      <c r="AC32" s="165">
        <f t="shared" si="15"/>
        <v>98</v>
      </c>
      <c r="AD32" s="166">
        <f t="shared" si="16"/>
        <v>-71</v>
      </c>
      <c r="AE32" s="159">
        <v>126</v>
      </c>
      <c r="AF32" s="167">
        <f t="shared" si="27"/>
        <v>0.9821428571428571</v>
      </c>
      <c r="AG32" s="168">
        <f t="shared" si="17"/>
        <v>145.20833333333334</v>
      </c>
      <c r="AH32" s="167">
        <f t="shared" si="28"/>
        <v>0.82410329985652797</v>
      </c>
      <c r="AI32" s="169">
        <f t="shared" si="30"/>
        <v>1</v>
      </c>
      <c r="AJ32" s="170">
        <f t="shared" si="18"/>
        <v>0.88571428571428568</v>
      </c>
      <c r="AK32" s="273">
        <v>9.2789999999999999</v>
      </c>
      <c r="AL32" s="274">
        <v>205.51</v>
      </c>
      <c r="AM32" s="275">
        <f t="shared" si="19"/>
        <v>1906.9272899999999</v>
      </c>
      <c r="AN32" s="273">
        <v>23.670270000000002</v>
      </c>
      <c r="AO32" s="321">
        <v>978.60653891991933</v>
      </c>
      <c r="AP32" s="172">
        <f t="shared" si="20"/>
        <v>23163.881000000001</v>
      </c>
      <c r="AQ32" s="202">
        <f t="shared" si="21"/>
        <v>8729.3900731197773</v>
      </c>
      <c r="AR32" s="199">
        <f t="shared" si="22"/>
        <v>122.625</v>
      </c>
      <c r="AS32" s="13"/>
      <c r="AT32" s="159">
        <v>0</v>
      </c>
      <c r="AU32" s="174">
        <v>0</v>
      </c>
      <c r="AV32" s="174">
        <v>0</v>
      </c>
      <c r="AW32" s="159">
        <v>0</v>
      </c>
      <c r="AX32" s="174">
        <v>16</v>
      </c>
      <c r="AY32" s="159">
        <v>1440</v>
      </c>
      <c r="AZ32" s="159">
        <v>0</v>
      </c>
      <c r="BA32" s="332"/>
      <c r="BB32" s="175">
        <v>959</v>
      </c>
      <c r="BC32" s="175">
        <v>1033</v>
      </c>
      <c r="BD32" s="175">
        <v>978</v>
      </c>
      <c r="BE32" s="175">
        <f t="shared" si="23"/>
        <v>74</v>
      </c>
      <c r="BF32" s="175">
        <f t="shared" si="24"/>
        <v>8729.3900731197773</v>
      </c>
      <c r="BG32" s="177">
        <f t="shared" si="25"/>
        <v>40.75</v>
      </c>
      <c r="BH32" s="191">
        <v>0</v>
      </c>
      <c r="BI32" s="155">
        <v>0</v>
      </c>
      <c r="BJ32" s="181">
        <v>22.04</v>
      </c>
      <c r="BK32" s="192">
        <v>25.13</v>
      </c>
      <c r="BL32" s="192">
        <v>21.56</v>
      </c>
      <c r="BM32" s="192">
        <v>28.7</v>
      </c>
      <c r="BN32" s="179">
        <v>985.21</v>
      </c>
      <c r="BO32" s="181">
        <v>50.1</v>
      </c>
      <c r="BP32" s="193">
        <v>0.93049999999999999</v>
      </c>
      <c r="BQ32" s="192">
        <v>94.13</v>
      </c>
      <c r="BR32" s="181">
        <v>87.26</v>
      </c>
      <c r="BS32" s="175">
        <v>12296</v>
      </c>
      <c r="BT32" s="175">
        <v>12078</v>
      </c>
      <c r="BU32" s="51">
        <f t="shared" si="26"/>
        <v>-218</v>
      </c>
      <c r="BV32" s="175">
        <f t="shared" si="29"/>
        <v>0</v>
      </c>
      <c r="BW32" s="177">
        <v>0</v>
      </c>
      <c r="BX32" s="177">
        <v>0</v>
      </c>
      <c r="BZ32" s="177">
        <v>24</v>
      </c>
      <c r="CA32" s="177">
        <v>6.3</v>
      </c>
      <c r="CC32" s="177">
        <v>2.1</v>
      </c>
      <c r="CD32" s="177">
        <v>4.2</v>
      </c>
      <c r="CE32" s="177">
        <v>2.1</v>
      </c>
      <c r="CF32" s="177">
        <v>0</v>
      </c>
    </row>
    <row r="33" spans="1:84" ht="15" customHeight="1">
      <c r="A33" s="525" t="s">
        <v>263</v>
      </c>
      <c r="B33" s="24">
        <v>43339</v>
      </c>
      <c r="C33" s="280">
        <v>93.2</v>
      </c>
      <c r="D33" s="281">
        <v>0.627</v>
      </c>
      <c r="E33" s="282">
        <v>78.099999999999994</v>
      </c>
      <c r="F33" s="223">
        <v>103</v>
      </c>
      <c r="G33" s="223">
        <v>85</v>
      </c>
      <c r="H33" s="283">
        <v>24</v>
      </c>
      <c r="I33" s="283">
        <v>0</v>
      </c>
      <c r="J33" s="283">
        <v>24</v>
      </c>
      <c r="K33" s="283">
        <v>0</v>
      </c>
      <c r="L33" s="284">
        <v>0</v>
      </c>
      <c r="M33" s="284">
        <v>0</v>
      </c>
      <c r="N33" s="284">
        <v>0</v>
      </c>
      <c r="O33" s="284">
        <v>0</v>
      </c>
      <c r="P33" s="284">
        <v>0</v>
      </c>
      <c r="Q33" s="286">
        <v>0</v>
      </c>
      <c r="R33" s="285">
        <v>3466</v>
      </c>
      <c r="S33" s="286">
        <v>2937</v>
      </c>
      <c r="T33" s="286">
        <v>2937</v>
      </c>
      <c r="U33" s="286">
        <v>2865</v>
      </c>
      <c r="V33" s="287">
        <v>2963</v>
      </c>
      <c r="W33" s="283">
        <v>40</v>
      </c>
      <c r="X33" s="283">
        <v>0</v>
      </c>
      <c r="Y33" s="283">
        <v>43</v>
      </c>
      <c r="Z33" s="288">
        <v>0</v>
      </c>
      <c r="AA33" s="288">
        <v>57</v>
      </c>
      <c r="AB33" s="284">
        <v>0</v>
      </c>
      <c r="AC33" s="221">
        <f t="shared" si="15"/>
        <v>98</v>
      </c>
      <c r="AD33" s="222">
        <f t="shared" si="16"/>
        <v>-72</v>
      </c>
      <c r="AE33" s="223">
        <v>126</v>
      </c>
      <c r="AF33" s="224">
        <f t="shared" si="27"/>
        <v>0.97982804232804233</v>
      </c>
      <c r="AG33" s="225">
        <f t="shared" si="17"/>
        <v>144.41666666666666</v>
      </c>
      <c r="AH33" s="224">
        <f t="shared" si="28"/>
        <v>0.82660126947489898</v>
      </c>
      <c r="AI33" s="226">
        <f t="shared" si="30"/>
        <v>1</v>
      </c>
      <c r="AJ33" s="227">
        <f t="shared" si="18"/>
        <v>0.88571428571428568</v>
      </c>
      <c r="AK33" s="271">
        <v>9.2550000000000008</v>
      </c>
      <c r="AL33" s="272">
        <v>203.33</v>
      </c>
      <c r="AM33" s="282">
        <f t="shared" si="19"/>
        <v>1881.8191500000003</v>
      </c>
      <c r="AN33" s="271">
        <v>23.639631000000001</v>
      </c>
      <c r="AO33" s="320">
        <v>978.581729977088</v>
      </c>
      <c r="AP33" s="290">
        <f t="shared" si="20"/>
        <v>23133.311000000002</v>
      </c>
      <c r="AQ33" s="228">
        <f t="shared" si="21"/>
        <v>8731.2845200698084</v>
      </c>
      <c r="AR33" s="229">
        <f t="shared" si="22"/>
        <v>122.375</v>
      </c>
      <c r="AS33" s="291"/>
      <c r="AT33" s="223">
        <v>0</v>
      </c>
      <c r="AU33" s="292">
        <v>0</v>
      </c>
      <c r="AV33" s="292">
        <v>0</v>
      </c>
      <c r="AW33" s="223">
        <v>0</v>
      </c>
      <c r="AX33" s="292">
        <v>16</v>
      </c>
      <c r="AY33" s="223">
        <v>1440</v>
      </c>
      <c r="AZ33" s="223">
        <v>0</v>
      </c>
      <c r="BA33" s="293"/>
      <c r="BB33" s="242">
        <v>956</v>
      </c>
      <c r="BC33" s="242">
        <v>1031</v>
      </c>
      <c r="BD33" s="242">
        <v>976</v>
      </c>
      <c r="BE33" s="242">
        <f t="shared" si="23"/>
        <v>75</v>
      </c>
      <c r="BF33" s="242">
        <f t="shared" si="24"/>
        <v>8731.2845200698084</v>
      </c>
      <c r="BG33" s="294">
        <f t="shared" si="25"/>
        <v>40.666666666666664</v>
      </c>
      <c r="BH33" s="295">
        <v>0</v>
      </c>
      <c r="BI33" s="296">
        <v>0</v>
      </c>
      <c r="BJ33" s="297">
        <v>22</v>
      </c>
      <c r="BK33" s="298">
        <v>25.1</v>
      </c>
      <c r="BL33" s="298">
        <v>21.8</v>
      </c>
      <c r="BM33" s="298">
        <v>28.5</v>
      </c>
      <c r="BN33" s="299">
        <v>986.9</v>
      </c>
      <c r="BO33" s="298">
        <v>50.06</v>
      </c>
      <c r="BP33" s="300">
        <v>0.93100000000000005</v>
      </c>
      <c r="BQ33" s="298">
        <v>94.07</v>
      </c>
      <c r="BR33" s="297">
        <v>87.24</v>
      </c>
      <c r="BS33" s="242">
        <v>12314</v>
      </c>
      <c r="BT33" s="242">
        <v>12078</v>
      </c>
      <c r="BU33" s="301">
        <f t="shared" si="26"/>
        <v>-236</v>
      </c>
      <c r="BV33" s="242">
        <f t="shared" si="29"/>
        <v>0</v>
      </c>
      <c r="BW33" s="302">
        <v>0</v>
      </c>
      <c r="BX33" s="302">
        <v>0</v>
      </c>
      <c r="BZ33" s="302">
        <v>24</v>
      </c>
      <c r="CA33" s="302">
        <v>6.3</v>
      </c>
      <c r="CC33" s="302">
        <v>2.1</v>
      </c>
      <c r="CD33" s="302">
        <v>4.2</v>
      </c>
      <c r="CE33" s="302">
        <v>2.1</v>
      </c>
      <c r="CF33" s="302">
        <v>0</v>
      </c>
    </row>
    <row r="34" spans="1:84">
      <c r="A34" s="525"/>
      <c r="B34" s="24">
        <v>43340</v>
      </c>
      <c r="C34" s="280">
        <v>94</v>
      </c>
      <c r="D34" s="281">
        <v>0.60599999999999998</v>
      </c>
      <c r="E34" s="282">
        <v>78.099999999999994</v>
      </c>
      <c r="F34" s="223">
        <v>103</v>
      </c>
      <c r="G34" s="223">
        <v>84</v>
      </c>
      <c r="H34" s="283">
        <v>24</v>
      </c>
      <c r="I34" s="283">
        <v>0</v>
      </c>
      <c r="J34" s="283">
        <v>24</v>
      </c>
      <c r="K34" s="283">
        <v>0</v>
      </c>
      <c r="L34" s="284">
        <v>0</v>
      </c>
      <c r="M34" s="284">
        <v>0</v>
      </c>
      <c r="N34" s="284">
        <v>0</v>
      </c>
      <c r="O34" s="284">
        <v>0</v>
      </c>
      <c r="P34" s="284">
        <v>0</v>
      </c>
      <c r="Q34" s="286">
        <v>0</v>
      </c>
      <c r="R34" s="285">
        <v>3460</v>
      </c>
      <c r="S34" s="286">
        <v>2924</v>
      </c>
      <c r="T34" s="286">
        <v>2924</v>
      </c>
      <c r="U34" s="286">
        <v>2853</v>
      </c>
      <c r="V34" s="287">
        <v>2954</v>
      </c>
      <c r="W34" s="283">
        <v>40</v>
      </c>
      <c r="X34" s="283">
        <v>0</v>
      </c>
      <c r="Y34" s="283">
        <v>43</v>
      </c>
      <c r="Z34" s="288">
        <v>0</v>
      </c>
      <c r="AA34" s="288">
        <v>57</v>
      </c>
      <c r="AB34" s="284">
        <v>0</v>
      </c>
      <c r="AC34" s="221">
        <f t="shared" si="15"/>
        <v>101</v>
      </c>
      <c r="AD34" s="222">
        <f t="shared" si="16"/>
        <v>-71</v>
      </c>
      <c r="AE34" s="223">
        <v>125</v>
      </c>
      <c r="AF34" s="224">
        <f t="shared" si="27"/>
        <v>0.98466666666666669</v>
      </c>
      <c r="AG34" s="225">
        <f t="shared" si="17"/>
        <v>144.16666666666666</v>
      </c>
      <c r="AH34" s="224">
        <f t="shared" si="28"/>
        <v>0.8245664739884393</v>
      </c>
      <c r="AI34" s="226">
        <f t="shared" si="30"/>
        <v>1</v>
      </c>
      <c r="AJ34" s="227">
        <f t="shared" si="18"/>
        <v>0.88571428571428568</v>
      </c>
      <c r="AK34" s="271">
        <v>9.2430000000000003</v>
      </c>
      <c r="AL34" s="272">
        <v>207.04</v>
      </c>
      <c r="AM34" s="282">
        <f t="shared" si="19"/>
        <v>1913.6707200000001</v>
      </c>
      <c r="AN34" s="271">
        <v>23.268990000000002</v>
      </c>
      <c r="AO34" s="320">
        <v>980.70135403384495</v>
      </c>
      <c r="AP34" s="290">
        <f t="shared" si="20"/>
        <v>22819.93</v>
      </c>
      <c r="AQ34" s="228">
        <f t="shared" si="21"/>
        <v>8669.330781633369</v>
      </c>
      <c r="AR34" s="229">
        <f t="shared" si="22"/>
        <v>121.83333333333333</v>
      </c>
      <c r="AS34" s="291"/>
      <c r="AT34" s="223">
        <v>0</v>
      </c>
      <c r="AU34" s="292">
        <v>0</v>
      </c>
      <c r="AV34" s="292">
        <v>0</v>
      </c>
      <c r="AW34" s="223">
        <v>0</v>
      </c>
      <c r="AX34" s="292">
        <v>16</v>
      </c>
      <c r="AY34" s="223">
        <v>1440</v>
      </c>
      <c r="AZ34" s="223">
        <v>0</v>
      </c>
      <c r="BA34" s="293"/>
      <c r="BB34" s="242">
        <v>951</v>
      </c>
      <c r="BC34" s="242">
        <v>1028</v>
      </c>
      <c r="BD34" s="242">
        <v>975</v>
      </c>
      <c r="BE34" s="242">
        <f t="shared" si="23"/>
        <v>77</v>
      </c>
      <c r="BF34" s="242">
        <f t="shared" si="24"/>
        <v>8669.330781633369</v>
      </c>
      <c r="BG34" s="294">
        <f t="shared" si="25"/>
        <v>40.625</v>
      </c>
      <c r="BH34" s="295">
        <v>0</v>
      </c>
      <c r="BI34" s="296">
        <v>0</v>
      </c>
      <c r="BJ34" s="297">
        <v>22</v>
      </c>
      <c r="BK34" s="298">
        <v>24.62</v>
      </c>
      <c r="BL34" s="298">
        <v>21.23</v>
      </c>
      <c r="BM34" s="298">
        <v>27.94</v>
      </c>
      <c r="BN34" s="299">
        <v>988.17</v>
      </c>
      <c r="BO34" s="298">
        <v>50.08</v>
      </c>
      <c r="BP34" s="300">
        <v>0.93149999999999999</v>
      </c>
      <c r="BQ34" s="298">
        <v>93.41</v>
      </c>
      <c r="BR34" s="297">
        <v>87.24</v>
      </c>
      <c r="BS34" s="242">
        <v>12162</v>
      </c>
      <c r="BT34" s="242">
        <v>11926</v>
      </c>
      <c r="BU34" s="301">
        <f t="shared" si="26"/>
        <v>-236</v>
      </c>
      <c r="BV34" s="242">
        <f t="shared" si="29"/>
        <v>0</v>
      </c>
      <c r="BW34" s="302">
        <v>0</v>
      </c>
      <c r="BX34" s="302">
        <v>0</v>
      </c>
      <c r="BZ34" s="302">
        <v>22.28</v>
      </c>
      <c r="CA34" s="302">
        <v>6.17</v>
      </c>
      <c r="CC34" s="302">
        <v>2.1</v>
      </c>
      <c r="CD34" s="302">
        <v>4.3</v>
      </c>
      <c r="CE34" s="302">
        <v>2</v>
      </c>
      <c r="CF34" s="302">
        <v>0</v>
      </c>
    </row>
    <row r="35" spans="1:84">
      <c r="A35" s="525"/>
      <c r="B35" s="24">
        <v>43341</v>
      </c>
      <c r="C35" s="280">
        <v>94.5</v>
      </c>
      <c r="D35" s="281">
        <v>0.59699999999999998</v>
      </c>
      <c r="E35" s="282">
        <v>77.8</v>
      </c>
      <c r="F35" s="223">
        <v>104</v>
      </c>
      <c r="G35" s="223">
        <v>84</v>
      </c>
      <c r="H35" s="283">
        <v>24</v>
      </c>
      <c r="I35" s="283">
        <v>0</v>
      </c>
      <c r="J35" s="283">
        <v>24</v>
      </c>
      <c r="K35" s="283">
        <v>0</v>
      </c>
      <c r="L35" s="284">
        <v>0</v>
      </c>
      <c r="M35" s="284">
        <v>0</v>
      </c>
      <c r="N35" s="284">
        <v>0</v>
      </c>
      <c r="O35" s="284">
        <v>0</v>
      </c>
      <c r="P35" s="284">
        <v>0</v>
      </c>
      <c r="Q35" s="286">
        <v>0</v>
      </c>
      <c r="R35" s="285">
        <v>3453</v>
      </c>
      <c r="S35" s="286">
        <v>2920</v>
      </c>
      <c r="T35" s="286">
        <v>2920</v>
      </c>
      <c r="U35" s="286">
        <v>2845</v>
      </c>
      <c r="V35" s="287">
        <v>2945</v>
      </c>
      <c r="W35" s="283">
        <v>41</v>
      </c>
      <c r="X35" s="283">
        <v>0</v>
      </c>
      <c r="Y35" s="283">
        <v>43</v>
      </c>
      <c r="Z35" s="288">
        <v>0</v>
      </c>
      <c r="AA35" s="288">
        <v>57</v>
      </c>
      <c r="AB35" s="284">
        <v>0</v>
      </c>
      <c r="AC35" s="221">
        <f t="shared" si="15"/>
        <v>100</v>
      </c>
      <c r="AD35" s="222">
        <f t="shared" si="16"/>
        <v>-75</v>
      </c>
      <c r="AE35" s="223">
        <v>126</v>
      </c>
      <c r="AF35" s="224">
        <f t="shared" si="27"/>
        <v>0.97387566137566139</v>
      </c>
      <c r="AG35" s="225">
        <f t="shared" si="17"/>
        <v>143.875</v>
      </c>
      <c r="AH35" s="224">
        <f t="shared" si="28"/>
        <v>0.82392122791775269</v>
      </c>
      <c r="AI35" s="226">
        <f t="shared" si="30"/>
        <v>1</v>
      </c>
      <c r="AJ35" s="227">
        <f t="shared" si="18"/>
        <v>0.87943262411347511</v>
      </c>
      <c r="AK35" s="271">
        <v>9.2720000000000002</v>
      </c>
      <c r="AL35" s="272">
        <v>204.93</v>
      </c>
      <c r="AM35" s="282">
        <f t="shared" si="19"/>
        <v>1900.1109600000002</v>
      </c>
      <c r="AN35" s="271">
        <v>23.091349999999998</v>
      </c>
      <c r="AO35" s="320">
        <v>998.97753920840501</v>
      </c>
      <c r="AP35" s="290">
        <f t="shared" si="20"/>
        <v>23067.74</v>
      </c>
      <c r="AQ35" s="228">
        <f t="shared" si="21"/>
        <v>8776.046031634447</v>
      </c>
      <c r="AR35" s="229">
        <f t="shared" si="22"/>
        <v>121.66666666666667</v>
      </c>
      <c r="AS35" s="291"/>
      <c r="AT35" s="223">
        <v>0</v>
      </c>
      <c r="AU35" s="292">
        <v>0</v>
      </c>
      <c r="AV35" s="292">
        <v>0</v>
      </c>
      <c r="AW35" s="223">
        <v>0</v>
      </c>
      <c r="AX35" s="292">
        <v>17</v>
      </c>
      <c r="AY35" s="223">
        <v>1440</v>
      </c>
      <c r="AZ35" s="223">
        <v>0</v>
      </c>
      <c r="BA35" s="293"/>
      <c r="BB35" s="242">
        <v>945</v>
      </c>
      <c r="BC35" s="242">
        <v>1027</v>
      </c>
      <c r="BD35" s="242">
        <v>973</v>
      </c>
      <c r="BE35" s="242">
        <f t="shared" si="23"/>
        <v>82</v>
      </c>
      <c r="BF35" s="242">
        <f t="shared" si="24"/>
        <v>8776.046031634447</v>
      </c>
      <c r="BG35" s="294">
        <f t="shared" si="25"/>
        <v>40.541666666666664</v>
      </c>
      <c r="BH35" s="295">
        <v>0</v>
      </c>
      <c r="BI35" s="296">
        <v>0</v>
      </c>
      <c r="BJ35" s="297">
        <v>28.9</v>
      </c>
      <c r="BK35" s="298">
        <v>24.31</v>
      </c>
      <c r="BL35" s="298">
        <v>20.97</v>
      </c>
      <c r="BM35" s="298">
        <v>27.9</v>
      </c>
      <c r="BN35" s="299">
        <v>988.1</v>
      </c>
      <c r="BO35" s="298">
        <v>50.09</v>
      </c>
      <c r="BP35" s="300">
        <v>0.93130000000000002</v>
      </c>
      <c r="BQ35" s="298">
        <v>93.7</v>
      </c>
      <c r="BR35" s="297">
        <v>87.22</v>
      </c>
      <c r="BS35" s="242">
        <v>12073</v>
      </c>
      <c r="BT35" s="242">
        <v>11846</v>
      </c>
      <c r="BU35" s="301">
        <f t="shared" si="26"/>
        <v>-227</v>
      </c>
      <c r="BV35" s="242">
        <f t="shared" si="29"/>
        <v>0</v>
      </c>
      <c r="BW35" s="302">
        <v>0</v>
      </c>
      <c r="BX35" s="302">
        <v>0</v>
      </c>
      <c r="BZ35" s="302">
        <v>18.13</v>
      </c>
      <c r="CA35" s="302">
        <v>6.72</v>
      </c>
      <c r="CC35" s="302">
        <v>2.1</v>
      </c>
      <c r="CD35" s="302">
        <v>4.3</v>
      </c>
      <c r="CE35" s="302">
        <v>2.1</v>
      </c>
      <c r="CF35" s="302">
        <v>0</v>
      </c>
    </row>
    <row r="36" spans="1:84">
      <c r="A36" s="525"/>
      <c r="B36" s="24">
        <v>43342</v>
      </c>
      <c r="C36" s="280">
        <v>93.6</v>
      </c>
      <c r="D36" s="281">
        <v>0.61899999999999999</v>
      </c>
      <c r="E36" s="282">
        <v>78.400000000000006</v>
      </c>
      <c r="F36" s="223">
        <v>103</v>
      </c>
      <c r="G36" s="223">
        <v>84</v>
      </c>
      <c r="H36" s="283">
        <v>24</v>
      </c>
      <c r="I36" s="283">
        <v>0</v>
      </c>
      <c r="J36" s="283">
        <v>24</v>
      </c>
      <c r="K36" s="283">
        <v>0</v>
      </c>
      <c r="L36" s="284">
        <v>0</v>
      </c>
      <c r="M36" s="284">
        <v>0</v>
      </c>
      <c r="N36" s="284">
        <v>0</v>
      </c>
      <c r="O36" s="284">
        <v>0</v>
      </c>
      <c r="P36" s="284">
        <v>0</v>
      </c>
      <c r="Q36" s="286">
        <v>0</v>
      </c>
      <c r="R36" s="285">
        <v>3461</v>
      </c>
      <c r="S36" s="286">
        <v>2947</v>
      </c>
      <c r="T36" s="286">
        <v>2947</v>
      </c>
      <c r="U36" s="286">
        <v>2875</v>
      </c>
      <c r="V36" s="287">
        <v>2974</v>
      </c>
      <c r="W36" s="283">
        <v>40</v>
      </c>
      <c r="X36" s="283">
        <v>0</v>
      </c>
      <c r="Y36" s="283">
        <v>43</v>
      </c>
      <c r="Z36" s="288">
        <v>0</v>
      </c>
      <c r="AA36" s="288">
        <v>57</v>
      </c>
      <c r="AB36" s="284">
        <v>0</v>
      </c>
      <c r="AC36" s="221">
        <f t="shared" si="15"/>
        <v>99</v>
      </c>
      <c r="AD36" s="222">
        <f t="shared" si="16"/>
        <v>-72</v>
      </c>
      <c r="AE36" s="223">
        <v>125</v>
      </c>
      <c r="AF36" s="224">
        <f t="shared" si="27"/>
        <v>0.99133333333333329</v>
      </c>
      <c r="AG36" s="225">
        <f t="shared" si="17"/>
        <v>144.20833333333334</v>
      </c>
      <c r="AH36" s="224">
        <f t="shared" si="28"/>
        <v>0.83068477318694023</v>
      </c>
      <c r="AI36" s="226">
        <f t="shared" si="30"/>
        <v>1</v>
      </c>
      <c r="AJ36" s="227">
        <f t="shared" si="18"/>
        <v>0.88571428571428568</v>
      </c>
      <c r="AK36" s="255">
        <v>9.2840000000000007</v>
      </c>
      <c r="AL36" s="256">
        <v>206.72</v>
      </c>
      <c r="AM36" s="282">
        <f t="shared" si="19"/>
        <v>1919.18848</v>
      </c>
      <c r="AN36" s="255">
        <v>23.31465</v>
      </c>
      <c r="AO36" s="323">
        <v>1000.441310506484</v>
      </c>
      <c r="AP36" s="290">
        <f t="shared" si="20"/>
        <v>23324.938999999998</v>
      </c>
      <c r="AQ36" s="228">
        <f t="shared" si="21"/>
        <v>8780.5660800000005</v>
      </c>
      <c r="AR36" s="229">
        <f t="shared" si="22"/>
        <v>122.79166666666667</v>
      </c>
      <c r="AS36" s="291"/>
      <c r="AT36" s="223">
        <v>0</v>
      </c>
      <c r="AU36" s="292">
        <v>0</v>
      </c>
      <c r="AV36" s="292">
        <v>0</v>
      </c>
      <c r="AW36" s="223">
        <v>0</v>
      </c>
      <c r="AX36" s="292">
        <v>16</v>
      </c>
      <c r="AY36" s="223">
        <v>1440</v>
      </c>
      <c r="AZ36" s="223">
        <v>0</v>
      </c>
      <c r="BA36" s="293"/>
      <c r="BB36" s="242">
        <v>977</v>
      </c>
      <c r="BC36" s="242">
        <v>1023</v>
      </c>
      <c r="BD36" s="242">
        <v>974</v>
      </c>
      <c r="BE36" s="242">
        <f t="shared" si="23"/>
        <v>46</v>
      </c>
      <c r="BF36" s="242">
        <f t="shared" si="24"/>
        <v>8780.5660800000005</v>
      </c>
      <c r="BG36" s="294">
        <f t="shared" si="25"/>
        <v>40.583333333333336</v>
      </c>
      <c r="BH36" s="295">
        <v>0</v>
      </c>
      <c r="BI36" s="296">
        <v>0</v>
      </c>
      <c r="BJ36" s="297">
        <v>28.8</v>
      </c>
      <c r="BK36" s="298">
        <v>24.81</v>
      </c>
      <c r="BL36" s="298">
        <v>20.92</v>
      </c>
      <c r="BM36" s="298">
        <v>27.9</v>
      </c>
      <c r="BN36" s="299">
        <v>985.83</v>
      </c>
      <c r="BO36" s="298">
        <v>50.05</v>
      </c>
      <c r="BP36" s="300">
        <v>0.93110000000000004</v>
      </c>
      <c r="BQ36" s="298">
        <v>96.97</v>
      </c>
      <c r="BR36" s="297">
        <v>87.31</v>
      </c>
      <c r="BS36" s="242">
        <v>11926</v>
      </c>
      <c r="BT36" s="242">
        <v>11856</v>
      </c>
      <c r="BU36" s="301">
        <f t="shared" si="26"/>
        <v>-70</v>
      </c>
      <c r="BV36" s="242">
        <f t="shared" si="29"/>
        <v>0</v>
      </c>
      <c r="BW36" s="302">
        <v>0</v>
      </c>
      <c r="BX36" s="302">
        <v>0</v>
      </c>
      <c r="BZ36" s="302">
        <v>24</v>
      </c>
      <c r="CA36" s="302">
        <v>6.67</v>
      </c>
      <c r="CC36" s="302">
        <v>2.1</v>
      </c>
      <c r="CD36" s="302">
        <v>4.5</v>
      </c>
      <c r="CE36" s="302">
        <v>2</v>
      </c>
      <c r="CF36" s="302">
        <v>0</v>
      </c>
    </row>
    <row r="37" spans="1:84">
      <c r="A37" s="525"/>
      <c r="B37" s="24">
        <v>43343</v>
      </c>
      <c r="C37" s="280">
        <v>91.77</v>
      </c>
      <c r="D37" s="281">
        <v>0.64429999999999998</v>
      </c>
      <c r="E37" s="282">
        <v>76.760000000000005</v>
      </c>
      <c r="F37" s="223">
        <v>99.2</v>
      </c>
      <c r="G37" s="223">
        <v>85.6</v>
      </c>
      <c r="H37" s="283">
        <v>24</v>
      </c>
      <c r="I37" s="283">
        <v>0</v>
      </c>
      <c r="J37" s="283">
        <v>24</v>
      </c>
      <c r="K37" s="283">
        <v>0</v>
      </c>
      <c r="L37" s="284">
        <v>0</v>
      </c>
      <c r="M37" s="284">
        <v>0</v>
      </c>
      <c r="N37" s="284">
        <v>0</v>
      </c>
      <c r="O37" s="284">
        <v>0</v>
      </c>
      <c r="P37" s="284">
        <v>0</v>
      </c>
      <c r="Q37" s="223">
        <v>0</v>
      </c>
      <c r="R37" s="285">
        <v>3481</v>
      </c>
      <c r="S37" s="286">
        <v>2955</v>
      </c>
      <c r="T37" s="286">
        <v>2955</v>
      </c>
      <c r="U37" s="286">
        <v>2889</v>
      </c>
      <c r="V37" s="287">
        <v>2986</v>
      </c>
      <c r="W37" s="283">
        <v>41</v>
      </c>
      <c r="X37" s="283">
        <v>0</v>
      </c>
      <c r="Y37" s="283">
        <v>43</v>
      </c>
      <c r="Z37" s="288">
        <v>0</v>
      </c>
      <c r="AA37" s="288">
        <v>57</v>
      </c>
      <c r="AB37" s="284">
        <v>0</v>
      </c>
      <c r="AC37" s="221">
        <f t="shared" si="15"/>
        <v>97</v>
      </c>
      <c r="AD37" s="222">
        <f t="shared" si="16"/>
        <v>-66</v>
      </c>
      <c r="AE37" s="223">
        <v>126</v>
      </c>
      <c r="AF37" s="224">
        <f t="shared" si="27"/>
        <v>0.98743386243386244</v>
      </c>
      <c r="AG37" s="225">
        <f t="shared" si="17"/>
        <v>145.04166666666666</v>
      </c>
      <c r="AH37" s="224">
        <f t="shared" si="28"/>
        <v>0.82993392703246194</v>
      </c>
      <c r="AI37" s="226">
        <f t="shared" si="30"/>
        <v>1</v>
      </c>
      <c r="AJ37" s="227">
        <f t="shared" si="18"/>
        <v>0.88652482269503552</v>
      </c>
      <c r="AK37" s="255">
        <v>9.2520000000000007</v>
      </c>
      <c r="AL37" s="256">
        <v>205.73</v>
      </c>
      <c r="AM37" s="282">
        <f t="shared" si="19"/>
        <v>1903.4139600000001</v>
      </c>
      <c r="AN37" s="255">
        <v>23.541990000000002</v>
      </c>
      <c r="AO37" s="323">
        <v>1001.5993125474948</v>
      </c>
      <c r="AP37" s="290">
        <f t="shared" si="20"/>
        <v>23579.641</v>
      </c>
      <c r="AQ37" s="228">
        <f t="shared" si="21"/>
        <v>8820.7182277604716</v>
      </c>
      <c r="AR37" s="229">
        <f t="shared" si="22"/>
        <v>123.125</v>
      </c>
      <c r="AS37" s="291"/>
      <c r="AT37" s="223">
        <v>0</v>
      </c>
      <c r="AU37" s="292">
        <v>0</v>
      </c>
      <c r="AV37" s="292">
        <v>0</v>
      </c>
      <c r="AW37" s="223">
        <v>0</v>
      </c>
      <c r="AX37" s="292">
        <v>16</v>
      </c>
      <c r="AY37" s="223">
        <v>1440</v>
      </c>
      <c r="AZ37" s="223">
        <v>0</v>
      </c>
      <c r="BA37" s="293"/>
      <c r="BB37" s="242">
        <v>980</v>
      </c>
      <c r="BC37" s="242">
        <v>1028</v>
      </c>
      <c r="BD37" s="242">
        <v>978</v>
      </c>
      <c r="BE37" s="242">
        <f t="shared" si="23"/>
        <v>48</v>
      </c>
      <c r="BF37" s="242">
        <f t="shared" si="24"/>
        <v>8820.7182277604716</v>
      </c>
      <c r="BG37" s="294">
        <f t="shared" si="25"/>
        <v>40.75</v>
      </c>
      <c r="BH37" s="295">
        <v>0</v>
      </c>
      <c r="BI37" s="296">
        <v>0</v>
      </c>
      <c r="BJ37" s="297">
        <v>28.98</v>
      </c>
      <c r="BK37" s="298">
        <v>25.04</v>
      </c>
      <c r="BL37" s="298">
        <v>21.17</v>
      </c>
      <c r="BM37" s="298">
        <v>27.96</v>
      </c>
      <c r="BN37" s="299">
        <v>985.6</v>
      </c>
      <c r="BO37" s="298">
        <v>50.04</v>
      </c>
      <c r="BP37" s="300">
        <v>0.93200000000000005</v>
      </c>
      <c r="BQ37" s="298">
        <v>96.96</v>
      </c>
      <c r="BR37" s="297">
        <v>87.2</v>
      </c>
      <c r="BS37" s="242">
        <v>11977</v>
      </c>
      <c r="BT37" s="242">
        <v>11898</v>
      </c>
      <c r="BU37" s="301">
        <f t="shared" si="26"/>
        <v>-79</v>
      </c>
      <c r="BV37" s="242">
        <f t="shared" si="29"/>
        <v>0</v>
      </c>
      <c r="BW37" s="302">
        <v>0</v>
      </c>
      <c r="BX37" s="302">
        <v>0</v>
      </c>
      <c r="BZ37" s="302">
        <v>24</v>
      </c>
      <c r="CA37" s="302">
        <v>6.5</v>
      </c>
      <c r="CC37" s="302">
        <v>2.1</v>
      </c>
      <c r="CD37" s="302">
        <v>4.6500000000000004</v>
      </c>
      <c r="CE37" s="302">
        <v>2.1</v>
      </c>
      <c r="CF37" s="302">
        <v>0</v>
      </c>
    </row>
    <row r="38" spans="1:84">
      <c r="A38" s="525"/>
      <c r="B38" s="24">
        <v>43344</v>
      </c>
      <c r="C38" s="280"/>
      <c r="D38" s="281"/>
      <c r="E38" s="282"/>
      <c r="F38" s="223"/>
      <c r="G38" s="223"/>
      <c r="H38" s="283"/>
      <c r="I38" s="283"/>
      <c r="J38" s="283"/>
      <c r="K38" s="283"/>
      <c r="L38" s="284"/>
      <c r="M38" s="284"/>
      <c r="N38" s="284"/>
      <c r="O38" s="284"/>
      <c r="P38" s="284"/>
      <c r="Q38" s="280"/>
      <c r="R38" s="285"/>
      <c r="S38" s="286"/>
      <c r="T38" s="286"/>
      <c r="U38" s="286"/>
      <c r="V38" s="287"/>
      <c r="W38" s="283"/>
      <c r="X38" s="283"/>
      <c r="Y38" s="283"/>
      <c r="Z38" s="288"/>
      <c r="AA38" s="288"/>
      <c r="AB38" s="284"/>
      <c r="AC38" s="221">
        <f t="shared" si="15"/>
        <v>0</v>
      </c>
      <c r="AD38" s="222">
        <f t="shared" si="16"/>
        <v>0</v>
      </c>
      <c r="AE38" s="223"/>
      <c r="AF38" s="224" t="str">
        <f t="shared" si="27"/>
        <v>no data</v>
      </c>
      <c r="AG38" s="225" t="str">
        <f t="shared" si="17"/>
        <v>no data</v>
      </c>
      <c r="AH38" s="224" t="str">
        <f t="shared" si="28"/>
        <v>no data</v>
      </c>
      <c r="AI38" s="226" t="str">
        <f t="shared" si="30"/>
        <v>no data</v>
      </c>
      <c r="AJ38" s="227" t="str">
        <f t="shared" si="18"/>
        <v>no data</v>
      </c>
      <c r="AK38" s="255"/>
      <c r="AL38" s="256"/>
      <c r="AM38" s="282">
        <f t="shared" si="19"/>
        <v>0</v>
      </c>
      <c r="AN38" s="255"/>
      <c r="AO38" s="323"/>
      <c r="AP38" s="290">
        <f t="shared" si="20"/>
        <v>0</v>
      </c>
      <c r="AQ38" s="228" t="str">
        <f t="shared" si="21"/>
        <v>no data</v>
      </c>
      <c r="AR38" s="229" t="str">
        <f t="shared" si="22"/>
        <v>no data</v>
      </c>
      <c r="AS38" s="291"/>
      <c r="AT38" s="223"/>
      <c r="AU38" s="292"/>
      <c r="AV38" s="292"/>
      <c r="AW38" s="223"/>
      <c r="AX38" s="292"/>
      <c r="AY38" s="223"/>
      <c r="AZ38" s="223"/>
      <c r="BA38" s="293"/>
      <c r="BB38" s="242"/>
      <c r="BC38" s="242"/>
      <c r="BD38" s="242"/>
      <c r="BE38" s="242">
        <f t="shared" si="23"/>
        <v>0</v>
      </c>
      <c r="BF38" s="242" t="str">
        <f t="shared" si="24"/>
        <v>no data</v>
      </c>
      <c r="BG38" s="294">
        <f t="shared" si="25"/>
        <v>0</v>
      </c>
      <c r="BH38" s="295"/>
      <c r="BI38" s="296"/>
      <c r="BJ38" s="297"/>
      <c r="BK38" s="298"/>
      <c r="BL38" s="298"/>
      <c r="BM38" s="298"/>
      <c r="BN38" s="299"/>
      <c r="BO38" s="298"/>
      <c r="BP38" s="300"/>
      <c r="BQ38" s="298"/>
      <c r="BR38" s="297"/>
      <c r="BS38" s="242"/>
      <c r="BT38" s="242"/>
      <c r="BU38" s="301">
        <f t="shared" si="26"/>
        <v>0</v>
      </c>
      <c r="BV38" s="242">
        <f t="shared" si="29"/>
        <v>0</v>
      </c>
      <c r="BW38" s="302"/>
      <c r="BX38" s="302"/>
      <c r="BZ38" s="302"/>
      <c r="CA38" s="302"/>
      <c r="CC38" s="302"/>
      <c r="CD38" s="302"/>
      <c r="CE38" s="302"/>
      <c r="CF38" s="302"/>
    </row>
    <row r="39" spans="1:84" ht="15.75" thickBot="1">
      <c r="A39" s="525"/>
      <c r="B39" s="24">
        <v>43345</v>
      </c>
      <c r="C39" s="280"/>
      <c r="D39" s="281"/>
      <c r="E39" s="282"/>
      <c r="F39" s="223"/>
      <c r="G39" s="223"/>
      <c r="H39" s="283"/>
      <c r="I39" s="283"/>
      <c r="J39" s="283"/>
      <c r="K39" s="283"/>
      <c r="L39" s="284"/>
      <c r="M39" s="284"/>
      <c r="N39" s="284"/>
      <c r="O39" s="284"/>
      <c r="P39" s="284"/>
      <c r="Q39" s="280"/>
      <c r="R39" s="285"/>
      <c r="S39" s="286"/>
      <c r="T39" s="286"/>
      <c r="U39" s="286"/>
      <c r="V39" s="287"/>
      <c r="W39" s="283"/>
      <c r="X39" s="283"/>
      <c r="Y39" s="283"/>
      <c r="Z39" s="288"/>
      <c r="AA39" s="288"/>
      <c r="AB39" s="284"/>
      <c r="AC39" s="221">
        <f t="shared" si="15"/>
        <v>0</v>
      </c>
      <c r="AD39" s="222">
        <f t="shared" si="16"/>
        <v>0</v>
      </c>
      <c r="AE39" s="223"/>
      <c r="AF39" s="224" t="str">
        <f t="shared" si="27"/>
        <v>no data</v>
      </c>
      <c r="AG39" s="225" t="str">
        <f t="shared" si="17"/>
        <v>no data</v>
      </c>
      <c r="AH39" s="224" t="str">
        <f t="shared" si="28"/>
        <v>no data</v>
      </c>
      <c r="AI39" s="226" t="str">
        <f t="shared" si="30"/>
        <v>no data</v>
      </c>
      <c r="AJ39" s="227" t="str">
        <f t="shared" si="18"/>
        <v>no data</v>
      </c>
      <c r="AK39" s="255"/>
      <c r="AL39" s="256"/>
      <c r="AM39" s="282">
        <f t="shared" si="19"/>
        <v>0</v>
      </c>
      <c r="AN39" s="255"/>
      <c r="AO39" s="289"/>
      <c r="AP39" s="290">
        <f t="shared" si="20"/>
        <v>0</v>
      </c>
      <c r="AQ39" s="228" t="str">
        <f t="shared" si="21"/>
        <v>no data</v>
      </c>
      <c r="AR39" s="229" t="str">
        <f t="shared" si="22"/>
        <v>no data</v>
      </c>
      <c r="AS39" s="291"/>
      <c r="AT39" s="223"/>
      <c r="AU39" s="292"/>
      <c r="AV39" s="292"/>
      <c r="AW39" s="223"/>
      <c r="AX39" s="292"/>
      <c r="AY39" s="223"/>
      <c r="AZ39" s="223"/>
      <c r="BA39" s="293"/>
      <c r="BB39" s="242"/>
      <c r="BC39" s="242"/>
      <c r="BD39" s="242"/>
      <c r="BE39" s="242">
        <f t="shared" si="23"/>
        <v>0</v>
      </c>
      <c r="BF39" s="242" t="str">
        <f t="shared" si="24"/>
        <v>no data</v>
      </c>
      <c r="BG39" s="294">
        <f t="shared" si="25"/>
        <v>0</v>
      </c>
      <c r="BH39" s="295"/>
      <c r="BI39" s="296"/>
      <c r="BJ39" s="297"/>
      <c r="BK39" s="298"/>
      <c r="BL39" s="298"/>
      <c r="BM39" s="298"/>
      <c r="BN39" s="299"/>
      <c r="BO39" s="298"/>
      <c r="BP39" s="300"/>
      <c r="BQ39" s="298"/>
      <c r="BR39" s="297"/>
      <c r="BS39" s="242"/>
      <c r="BT39" s="242"/>
      <c r="BU39" s="301">
        <f t="shared" si="26"/>
        <v>0</v>
      </c>
      <c r="BV39" s="242">
        <f t="shared" si="29"/>
        <v>0</v>
      </c>
      <c r="BW39" s="302"/>
      <c r="BX39" s="302"/>
      <c r="BZ39" s="302"/>
      <c r="CA39" s="302"/>
      <c r="CC39" s="302"/>
      <c r="CD39" s="302"/>
      <c r="CE39" s="302"/>
      <c r="CF39" s="302"/>
    </row>
    <row r="40" spans="1:84" ht="15.75" thickBot="1">
      <c r="A40" s="79"/>
      <c r="B40" s="80" t="s">
        <v>83</v>
      </c>
      <c r="C40" s="81">
        <f>AVERAGE(C7:C37)</f>
        <v>92.683225806451603</v>
      </c>
      <c r="D40" s="81">
        <f>AVERAGE(D7:D37)*100</f>
        <v>65.42774193548388</v>
      </c>
      <c r="E40" s="81">
        <f>AVERAGE(E7:E37)</f>
        <v>79.172516129032275</v>
      </c>
      <c r="F40" s="81">
        <f>AVERAGE(F7:F37)</f>
        <v>100.49032258064516</v>
      </c>
      <c r="G40" s="81">
        <f>AVERAGE(G7:G37)</f>
        <v>85.92258064516129</v>
      </c>
      <c r="H40" s="81">
        <f>SUM(H7:H37)+(INT(SUM(I7:I37)/60))</f>
        <v>732</v>
      </c>
      <c r="I40" s="81">
        <f>SUM(I7:I37)-(INT(SUM(I7:I37)/60)*60)</f>
        <v>56</v>
      </c>
      <c r="J40" s="81">
        <f>SUM(J7:J37)+(INT(SUM(K7:K37)/60))</f>
        <v>736</v>
      </c>
      <c r="K40" s="81">
        <f t="shared" ref="K40:Q40" si="31">SUM(K7:K37)-(INT(SUM(K7:K37)/60)*60)</f>
        <v>53</v>
      </c>
      <c r="L40" s="81">
        <f t="shared" si="31"/>
        <v>0</v>
      </c>
      <c r="M40" s="81">
        <f t="shared" si="31"/>
        <v>0</v>
      </c>
      <c r="N40" s="81">
        <f t="shared" si="31"/>
        <v>0</v>
      </c>
      <c r="O40" s="81">
        <f t="shared" si="31"/>
        <v>0</v>
      </c>
      <c r="P40" s="81">
        <f t="shared" si="31"/>
        <v>0</v>
      </c>
      <c r="Q40" s="81">
        <f t="shared" si="31"/>
        <v>0</v>
      </c>
      <c r="R40" s="83">
        <f>SUM(R7:R37)</f>
        <v>107602</v>
      </c>
      <c r="S40" s="83">
        <f t="shared" ref="S40:AB40" si="32">SUM(S7:S37)</f>
        <v>90008</v>
      </c>
      <c r="T40" s="83">
        <f t="shared" si="32"/>
        <v>90008</v>
      </c>
      <c r="U40" s="365">
        <v>87978.92</v>
      </c>
      <c r="V40" s="83">
        <f t="shared" si="32"/>
        <v>90825</v>
      </c>
      <c r="W40" s="83">
        <f t="shared" si="32"/>
        <v>1232</v>
      </c>
      <c r="X40" s="83">
        <f t="shared" si="32"/>
        <v>409</v>
      </c>
      <c r="Y40" s="83">
        <f t="shared" si="32"/>
        <v>1327</v>
      </c>
      <c r="Z40" s="83">
        <f t="shared" si="32"/>
        <v>124</v>
      </c>
      <c r="AA40" s="83">
        <f t="shared" si="32"/>
        <v>1767</v>
      </c>
      <c r="AB40" s="83">
        <f t="shared" si="32"/>
        <v>417</v>
      </c>
      <c r="AC40" s="86">
        <f>V40-U40+AZ40</f>
        <v>2850.0800000000017</v>
      </c>
      <c r="AD40" s="87">
        <f>(SUM($AD$7:$AD$37))</f>
        <v>-2219</v>
      </c>
      <c r="AE40" s="87">
        <f>AVERAGE(AE7:AE37)</f>
        <v>125.3225806451613</v>
      </c>
      <c r="AF40" s="90">
        <f>AVERAGE(AF7:AF37)</f>
        <v>0.97411438170534925</v>
      </c>
      <c r="AG40" s="90">
        <f t="shared" ref="AG40:AO40" si="33">AVERAGE(AG7:AG37)</f>
        <v>144.6263440860215</v>
      </c>
      <c r="AH40" s="90">
        <f t="shared" si="33"/>
        <v>0.81587794252351409</v>
      </c>
      <c r="AI40" s="90">
        <f t="shared" si="33"/>
        <v>0.99264875618706261</v>
      </c>
      <c r="AJ40" s="90">
        <f t="shared" si="33"/>
        <v>0.87253155906112567</v>
      </c>
      <c r="AK40" s="89">
        <f>SUM(AK7:AK37)</f>
        <v>288.488</v>
      </c>
      <c r="AL40" s="90">
        <f t="shared" si="33"/>
        <v>193.66129032258061</v>
      </c>
      <c r="AM40" s="90">
        <f>SUM(AM7:AM37)</f>
        <v>55740.90264</v>
      </c>
      <c r="AN40" s="89">
        <f>SUM(AN7:AN37)</f>
        <v>722.82577000000003</v>
      </c>
      <c r="AO40" s="90">
        <f t="shared" si="33"/>
        <v>983.95369532763186</v>
      </c>
      <c r="AP40" s="90">
        <f>SUM(AP7:AP37)</f>
        <v>711225.25400000007</v>
      </c>
      <c r="AQ40" s="91">
        <f>((AM40+AP40))/(U40*1000)*1000000</f>
        <v>8717.6127717866966</v>
      </c>
      <c r="AR40" s="339">
        <f>AVERAGE(AR7:AR37)</f>
        <v>120.97849462365592</v>
      </c>
      <c r="AS40" s="13"/>
      <c r="AT40" s="93">
        <f t="shared" ref="AT40:AZ40" si="34">SUM(AT9:AT38)</f>
        <v>31</v>
      </c>
      <c r="AU40" s="93">
        <f t="shared" si="34"/>
        <v>255</v>
      </c>
      <c r="AV40" s="93">
        <f t="shared" si="34"/>
        <v>41</v>
      </c>
      <c r="AW40" s="93">
        <f t="shared" si="34"/>
        <v>303</v>
      </c>
      <c r="AX40" s="93">
        <f t="shared" si="34"/>
        <v>487</v>
      </c>
      <c r="AY40" s="93">
        <f t="shared" si="34"/>
        <v>41532</v>
      </c>
      <c r="AZ40" s="93">
        <f t="shared" si="34"/>
        <v>4</v>
      </c>
      <c r="BA40" s="4"/>
      <c r="BB40" s="94">
        <f>SUM(BB9:BB38)</f>
        <v>27303</v>
      </c>
      <c r="BC40" s="94">
        <f>SUM(BC9:BC38)</f>
        <v>29700</v>
      </c>
      <c r="BD40" s="94">
        <f>SUM(BD9:BD38)</f>
        <v>27861</v>
      </c>
      <c r="BE40" s="6">
        <f>(BC40-BB40)</f>
        <v>2397</v>
      </c>
      <c r="BF40" s="95">
        <f t="shared" si="24"/>
        <v>8717.6127717866966</v>
      </c>
      <c r="BG40" s="95">
        <f>AVERAGE(BG9:BG38)</f>
        <v>38.695833333333333</v>
      </c>
      <c r="BH40" s="95">
        <f>SUM(BH9:BH38)</f>
        <v>0</v>
      </c>
      <c r="BI40" s="95">
        <f>SUM(BI9:BI38)</f>
        <v>0</v>
      </c>
      <c r="BJ40" s="95">
        <f>AVERAGE(BJ9:BJ38)</f>
        <v>24.245517241379307</v>
      </c>
      <c r="BK40" s="95">
        <f>AVERAGE(BK9:BK38)</f>
        <v>24.859310344827581</v>
      </c>
      <c r="BL40" s="95">
        <f t="shared" ref="BL40:BT40" si="35">AVERAGE(BL9:BL38)</f>
        <v>21.105862068965511</v>
      </c>
      <c r="BM40" s="95">
        <f t="shared" si="35"/>
        <v>29.28896551724138</v>
      </c>
      <c r="BN40" s="95">
        <f t="shared" si="35"/>
        <v>985.20724137931029</v>
      </c>
      <c r="BO40" s="95">
        <f t="shared" si="35"/>
        <v>50.102758620689649</v>
      </c>
      <c r="BP40" s="95">
        <f t="shared" si="35"/>
        <v>0.9302275862068965</v>
      </c>
      <c r="BQ40" s="95">
        <f t="shared" si="35"/>
        <v>94.358965517241359</v>
      </c>
      <c r="BR40" s="95">
        <f t="shared" si="35"/>
        <v>87.327241379310323</v>
      </c>
      <c r="BS40" s="95">
        <f t="shared" si="35"/>
        <v>12260.034482758621</v>
      </c>
      <c r="BT40" s="95">
        <f t="shared" si="35"/>
        <v>11969.310344827587</v>
      </c>
      <c r="BU40" s="6"/>
      <c r="BV40" s="97">
        <f>(SUM(BV11:BV39))</f>
        <v>0</v>
      </c>
      <c r="BW40" s="97">
        <f>(SUM(BW11:BW39))</f>
        <v>0</v>
      </c>
      <c r="BX40" s="97">
        <f>(SUM(BX11:BX39))</f>
        <v>0</v>
      </c>
      <c r="BY40" s="97"/>
      <c r="BZ40" s="97">
        <f>(SUM(BZ11:BZ39))</f>
        <v>586.11</v>
      </c>
      <c r="CA40" s="97">
        <f>(SUM(CA11:CA39))</f>
        <v>163.86999999999998</v>
      </c>
      <c r="CC40" s="97"/>
      <c r="CD40" s="97"/>
      <c r="CE40" s="97"/>
      <c r="CF40" s="97"/>
    </row>
    <row r="41" spans="1:84" ht="15.75" thickBot="1">
      <c r="A41" s="98"/>
      <c r="B41" s="99" t="s">
        <v>84</v>
      </c>
      <c r="C41" s="100" t="s">
        <v>85</v>
      </c>
      <c r="D41" s="101" t="s">
        <v>86</v>
      </c>
      <c r="E41" s="101"/>
      <c r="F41" s="102" t="s">
        <v>87</v>
      </c>
      <c r="G41" s="102" t="s">
        <v>88</v>
      </c>
      <c r="H41" s="102" t="s">
        <v>75</v>
      </c>
      <c r="I41" s="102" t="s">
        <v>76</v>
      </c>
      <c r="J41" s="102" t="s">
        <v>75</v>
      </c>
      <c r="K41" s="102" t="s">
        <v>76</v>
      </c>
      <c r="L41" s="102" t="s">
        <v>75</v>
      </c>
      <c r="M41" s="102" t="s">
        <v>76</v>
      </c>
      <c r="N41" s="102" t="s">
        <v>75</v>
      </c>
      <c r="O41" s="102" t="s">
        <v>76</v>
      </c>
      <c r="P41" s="102" t="s">
        <v>75</v>
      </c>
      <c r="Q41" s="102" t="s">
        <v>76</v>
      </c>
      <c r="R41" s="103" t="s">
        <v>91</v>
      </c>
      <c r="S41" s="103" t="s">
        <v>91</v>
      </c>
      <c r="T41" s="103" t="s">
        <v>91</v>
      </c>
      <c r="U41" s="103" t="s">
        <v>91</v>
      </c>
      <c r="V41" s="103" t="s">
        <v>91</v>
      </c>
      <c r="W41" s="103" t="s">
        <v>92</v>
      </c>
      <c r="X41" s="103" t="s">
        <v>93</v>
      </c>
      <c r="Y41" s="103" t="s">
        <v>94</v>
      </c>
      <c r="Z41" s="103" t="s">
        <v>93</v>
      </c>
      <c r="AA41" s="103" t="s">
        <v>94</v>
      </c>
      <c r="AB41" s="103" t="s">
        <v>93</v>
      </c>
      <c r="AC41" s="103" t="s">
        <v>95</v>
      </c>
      <c r="AD41" s="103" t="s">
        <v>96</v>
      </c>
      <c r="AE41" s="103" t="s">
        <v>97</v>
      </c>
      <c r="AF41" s="103" t="s">
        <v>98</v>
      </c>
      <c r="AG41" s="103" t="s">
        <v>99</v>
      </c>
      <c r="AH41" s="103" t="s">
        <v>99</v>
      </c>
      <c r="AI41" s="103"/>
      <c r="AJ41" s="103" t="s">
        <v>99</v>
      </c>
      <c r="AK41" s="103" t="s">
        <v>100</v>
      </c>
      <c r="AL41" s="103" t="s">
        <v>99</v>
      </c>
      <c r="AM41" s="103"/>
      <c r="AN41" s="103" t="s">
        <v>100</v>
      </c>
      <c r="AO41" s="103" t="s">
        <v>99</v>
      </c>
      <c r="AP41" s="104"/>
      <c r="AQ41" s="105" t="s">
        <v>99</v>
      </c>
      <c r="AR41" s="106"/>
      <c r="AS41" s="107"/>
      <c r="AZ41" s="108" t="s">
        <v>100</v>
      </c>
      <c r="BA41" s="4"/>
      <c r="BF41" s="109" t="str">
        <f t="shared" si="24"/>
        <v>Avg.</v>
      </c>
      <c r="BS41" s="5"/>
      <c r="BT41" s="5"/>
      <c r="BU41" s="6"/>
    </row>
    <row r="42" spans="1:84" ht="15.75" thickBot="1">
      <c r="B42" s="110"/>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c r="AA42" s="110"/>
      <c r="AB42" s="110"/>
      <c r="AC42" s="110"/>
      <c r="AD42" s="110"/>
      <c r="AE42" s="110"/>
      <c r="AF42" s="110"/>
      <c r="AG42" s="110"/>
      <c r="AH42" s="110"/>
      <c r="AI42" s="110"/>
      <c r="AJ42" s="110"/>
      <c r="AK42" s="110"/>
      <c r="AL42" s="110"/>
      <c r="AM42" s="111"/>
      <c r="AQ42" s="112"/>
      <c r="AR42" s="112"/>
      <c r="AS42" s="4"/>
      <c r="BA42" s="113"/>
      <c r="BB42" s="114"/>
      <c r="BC42" s="114"/>
      <c r="BD42" s="114"/>
      <c r="BE42" s="6"/>
      <c r="BS42" s="5"/>
      <c r="BT42" s="5"/>
      <c r="BU42" s="6"/>
    </row>
    <row r="43" spans="1:84" ht="60.75" thickBot="1">
      <c r="B43" s="115" t="s">
        <v>101</v>
      </c>
      <c r="C43" s="116" t="s">
        <v>102</v>
      </c>
      <c r="D43" s="116" t="s">
        <v>103</v>
      </c>
      <c r="E43" s="352"/>
      <c r="F43" s="428" t="s">
        <v>104</v>
      </c>
      <c r="G43" s="429"/>
      <c r="H43" s="428" t="s">
        <v>105</v>
      </c>
      <c r="I43" s="429"/>
      <c r="J43" s="428" t="s">
        <v>106</v>
      </c>
      <c r="K43" s="429"/>
      <c r="L43" s="428" t="s">
        <v>107</v>
      </c>
      <c r="M43" s="429"/>
      <c r="N43" s="428" t="s">
        <v>108</v>
      </c>
      <c r="O43" s="429"/>
      <c r="P43" s="428" t="s">
        <v>109</v>
      </c>
      <c r="Q43" s="429"/>
      <c r="R43" s="117" t="s">
        <v>110</v>
      </c>
      <c r="S43" s="118" t="s">
        <v>111</v>
      </c>
      <c r="T43" s="119" t="s">
        <v>112</v>
      </c>
      <c r="U43" s="116" t="s">
        <v>11</v>
      </c>
      <c r="V43" s="119" t="s">
        <v>12</v>
      </c>
      <c r="W43" s="116" t="s">
        <v>113</v>
      </c>
      <c r="X43" s="116" t="s">
        <v>14</v>
      </c>
      <c r="Y43" s="116" t="s">
        <v>114</v>
      </c>
      <c r="Z43" s="116" t="s">
        <v>16</v>
      </c>
      <c r="AA43" s="116" t="s">
        <v>18</v>
      </c>
      <c r="AB43" s="116" t="s">
        <v>17</v>
      </c>
      <c r="AC43" s="118" t="s">
        <v>19</v>
      </c>
      <c r="AD43" s="120" t="s">
        <v>20</v>
      </c>
      <c r="AE43" s="121" t="s">
        <v>21</v>
      </c>
      <c r="AF43" s="121" t="s">
        <v>22</v>
      </c>
      <c r="AG43" s="121" t="s">
        <v>115</v>
      </c>
      <c r="AH43" s="122" t="s">
        <v>116</v>
      </c>
      <c r="AI43" s="122" t="s">
        <v>25</v>
      </c>
      <c r="AJ43" s="123" t="s">
        <v>26</v>
      </c>
      <c r="AK43" s="119" t="s">
        <v>117</v>
      </c>
      <c r="AL43" s="124" t="s">
        <v>28</v>
      </c>
      <c r="AM43" s="124" t="s">
        <v>29</v>
      </c>
      <c r="AN43" s="119" t="s">
        <v>118</v>
      </c>
      <c r="AO43" s="124" t="s">
        <v>119</v>
      </c>
      <c r="AP43" s="124" t="s">
        <v>32</v>
      </c>
      <c r="AQ43" s="123" t="s">
        <v>120</v>
      </c>
      <c r="AR43" s="125"/>
      <c r="AS43" s="125"/>
      <c r="BA43" s="113"/>
      <c r="BB43" s="114"/>
      <c r="BC43" s="114"/>
      <c r="BD43" s="114"/>
      <c r="BE43" s="126">
        <f>AVERAGE(BE27:BE30)</f>
        <v>90</v>
      </c>
      <c r="BS43" s="5"/>
      <c r="BT43" s="5"/>
      <c r="BU43" s="6"/>
    </row>
    <row r="44" spans="1:84">
      <c r="B44" s="127" t="s">
        <v>258</v>
      </c>
      <c r="C44" s="128">
        <f>IF(C7=0,"no data",AVERAGE(C7:C11))</f>
        <v>92.74</v>
      </c>
      <c r="D44" s="128">
        <f>IF(D7=0,"no data",AVERAGE(D7:D11))</f>
        <v>0.64879999999999993</v>
      </c>
      <c r="E44" s="128">
        <f>IF(E7=0,"no data",AVERAGE(E7:E11))</f>
        <v>78.360000000000014</v>
      </c>
      <c r="F44" s="128">
        <f>IF(F7=0,"no data",AVERAGE(F7:F11))</f>
        <v>99.4</v>
      </c>
      <c r="G44" s="128">
        <f>IF(G7=0,"no data",AVERAGE(G7:G11))</f>
        <v>87</v>
      </c>
      <c r="H44" s="128">
        <f>SUM(H7:H11)+INT(SUM(I7:I11)/60)</f>
        <v>120</v>
      </c>
      <c r="I44" s="128">
        <f t="shared" ref="I44:Q44" si="36">SUM(I7:I11)+INT(SUM(J7:J11)/60)</f>
        <v>2</v>
      </c>
      <c r="J44" s="128">
        <f t="shared" si="36"/>
        <v>120</v>
      </c>
      <c r="K44" s="128">
        <f t="shared" si="36"/>
        <v>0</v>
      </c>
      <c r="L44" s="128">
        <f t="shared" si="36"/>
        <v>0</v>
      </c>
      <c r="M44" s="128">
        <f t="shared" si="36"/>
        <v>0</v>
      </c>
      <c r="N44" s="128">
        <f t="shared" si="36"/>
        <v>0</v>
      </c>
      <c r="O44" s="128">
        <f t="shared" si="36"/>
        <v>0</v>
      </c>
      <c r="P44" s="128">
        <f t="shared" si="36"/>
        <v>0</v>
      </c>
      <c r="Q44" s="128">
        <f t="shared" si="36"/>
        <v>289</v>
      </c>
      <c r="R44" s="130">
        <f t="shared" ref="R44:W44" si="37">IF(C7=0,"no data", AVERAGE(R7:R11))</f>
        <v>3470.6</v>
      </c>
      <c r="S44" s="130">
        <f t="shared" si="37"/>
        <v>2951.2</v>
      </c>
      <c r="T44" s="130">
        <f t="shared" si="37"/>
        <v>2951.2</v>
      </c>
      <c r="U44" s="130">
        <f t="shared" si="37"/>
        <v>2880.2</v>
      </c>
      <c r="V44" s="130">
        <f t="shared" si="37"/>
        <v>2980.4</v>
      </c>
      <c r="W44" s="130">
        <f t="shared" si="37"/>
        <v>40</v>
      </c>
      <c r="X44" s="140" t="str">
        <f>IF(AND(X7=0,X8=0,X9=0,X10=0,X11=0),"No outage",SUM(X5:X11))</f>
        <v>No outage</v>
      </c>
      <c r="Y44" s="131">
        <f>IF(Y7=0,"no data", AVERAGE(Y7:Y11))</f>
        <v>43</v>
      </c>
      <c r="Z44" s="140" t="str">
        <f>IF(AND(Z7=0,Z8=0,Z9=0,Z10=0,Z11=0),"No outage",SUM(Z5:Z11))</f>
        <v>No outage</v>
      </c>
      <c r="AA44" s="132" t="str">
        <f>IF(AND(AB7=0,AB8=0,AB9=0, AB10=0,AB11=0),"No outage",SUM(AB5:AB11))</f>
        <v>No outage</v>
      </c>
      <c r="AB44" s="132">
        <f t="shared" ref="AB44:AJ44" si="38">IF(AA7=0,"no data", AVERAGE(AA7:AA11))</f>
        <v>57</v>
      </c>
      <c r="AC44" s="132" t="str">
        <f t="shared" si="38"/>
        <v>no data</v>
      </c>
      <c r="AD44" s="132">
        <f t="shared" si="38"/>
        <v>100.2</v>
      </c>
      <c r="AE44" s="132">
        <f t="shared" si="38"/>
        <v>-71</v>
      </c>
      <c r="AF44" s="132">
        <f t="shared" si="38"/>
        <v>125.8</v>
      </c>
      <c r="AG44" s="132">
        <f t="shared" si="38"/>
        <v>0.98715608465608451</v>
      </c>
      <c r="AH44" s="132">
        <f t="shared" si="38"/>
        <v>144.60833333333335</v>
      </c>
      <c r="AI44" s="132">
        <f t="shared" si="38"/>
        <v>0.82988557268805874</v>
      </c>
      <c r="AJ44" s="132">
        <f t="shared" si="38"/>
        <v>1</v>
      </c>
      <c r="AK44" s="132">
        <f>IF(AK7=0,"no data", SUM(AK7:AK11))</f>
        <v>49.552000000000007</v>
      </c>
      <c r="AL44" s="132">
        <f>IF(AL7=0,"no data", AVERAGE(AL7:AL11))</f>
        <v>175.90199999999999</v>
      </c>
      <c r="AM44" s="132">
        <f>AK44*AL44</f>
        <v>8716.2959040000005</v>
      </c>
      <c r="AN44" s="132">
        <f>IF(AN7=0,"no data", SUM(AN7:AN11))</f>
        <v>117.88676100000001</v>
      </c>
      <c r="AO44" s="132">
        <f>IF(AO7=0,"no data", AVERAGE(AO7:AO11))</f>
        <v>989.36912166549337</v>
      </c>
      <c r="AP44" s="132">
        <f>AN44*AO44</f>
        <v>116633.52118655994</v>
      </c>
      <c r="AQ44" s="134">
        <f>IF(AQ7=0,"no data", AVERAGE(AQ7:AQ11))</f>
        <v>8704.3182787003643</v>
      </c>
      <c r="AR44" s="135"/>
      <c r="AS44" s="136"/>
      <c r="BA44" s="113"/>
      <c r="BB44" s="114"/>
      <c r="BC44" s="114"/>
      <c r="BD44" s="114"/>
      <c r="BS44" s="5"/>
      <c r="BT44" s="5"/>
      <c r="BU44" s="6"/>
    </row>
    <row r="45" spans="1:84">
      <c r="B45" s="127" t="s">
        <v>260</v>
      </c>
      <c r="C45" s="137">
        <f>IF(C12=0,"no data", AVERAGE(C12:C18))</f>
        <v>92.037142857142854</v>
      </c>
      <c r="D45" s="138">
        <f>IF(D12=0,"no data", AVERAGE(D12:D18))</f>
        <v>0.66941428571428585</v>
      </c>
      <c r="E45" s="140">
        <f>IF(E12=0,"no data", AVERAGE(E12:E18))</f>
        <v>79.488571428571433</v>
      </c>
      <c r="F45" s="137">
        <f>IF(F12=0,"no data", AVERAGE(F12:F18))</f>
        <v>99.571428571428569</v>
      </c>
      <c r="G45" s="137">
        <f>IF(G12=0,"no data", AVERAGE(G12:G18))</f>
        <v>86.142857142857139</v>
      </c>
      <c r="H45" s="137">
        <f>SUM(H12:H18)+INT(SUM(I12:I18)/60)</f>
        <v>168</v>
      </c>
      <c r="I45" s="137">
        <f>SUM(I12:I18)-INT(SUM(J12:J18)/60)</f>
        <v>-2</v>
      </c>
      <c r="J45" s="137">
        <f>SUM(J12:J18)+INT(SUM(K12:K18)/60)</f>
        <v>167</v>
      </c>
      <c r="K45" s="137">
        <f>SUM(K12:K18)-INT(SUM(L12:L18)/60)*60</f>
        <v>35</v>
      </c>
      <c r="L45" s="137">
        <f>SUM(L12:L18)+INT(SUM(M12:M18)/60)</f>
        <v>0</v>
      </c>
      <c r="M45" s="137">
        <f>SUM(M12:M18)-INT(SUM(N12:N18)/60)*60</f>
        <v>0</v>
      </c>
      <c r="N45" s="137">
        <f>SUM(N12:N18)+INT(SUM(O12:O18)/60)</f>
        <v>0</v>
      </c>
      <c r="O45" s="137">
        <v>0</v>
      </c>
      <c r="P45" s="137">
        <f>SUM(P12:P18)+INT(SUM(Q12:Q18)/60)</f>
        <v>0</v>
      </c>
      <c r="Q45" s="137">
        <f>SUM(Q8:Q12)-INT(SUM(Q12:Q18)/60)*60</f>
        <v>0</v>
      </c>
      <c r="R45" s="139">
        <f>IF(R12=0,"no data", AVERAGE(R12:R18))</f>
        <v>3477.5714285714284</v>
      </c>
      <c r="S45" s="139">
        <f>IF(S12=0,"no data", AVERAGE(S12:S18))</f>
        <v>2940.5714285714284</v>
      </c>
      <c r="T45" s="139">
        <f>IF(T12=0,"no data", AVERAGE(T12:T18))</f>
        <v>2940.5714285714284</v>
      </c>
      <c r="U45" s="139">
        <f>IF(U12=0,"no data", SUM(U12:U18))</f>
        <v>20085</v>
      </c>
      <c r="V45" s="139">
        <f>IF(V12=0,"no data", SUM(V12:V18))</f>
        <v>20770</v>
      </c>
      <c r="W45" s="139">
        <f>IF(W12=0,"no data", AVERAGE(W12:W18))</f>
        <v>40</v>
      </c>
      <c r="X45" s="140" t="str">
        <f>IF(AND(X12=0,X13=0,X14=0,X15=0,X16=0,X17=0,X18=0),"No outage",SUM(X12:X18))</f>
        <v>No outage</v>
      </c>
      <c r="Y45" s="139">
        <f>IF(Y12=0,"no data", AVERAGE(Y12:Y18))</f>
        <v>43</v>
      </c>
      <c r="Z45" s="140" t="str">
        <f>IF(AND(Z12=0,Z13=0,Z14=0,Z15=0,Z16=0,Z17=0,Z18=0),"No outage",SUM(Z12:Z18))</f>
        <v>No outage</v>
      </c>
      <c r="AA45" s="132" t="str">
        <f>IF(AND(AB12=0,AB13=0,AB14=0,AB15=0,AB16=0, AB17=0,AB18=0),"No outage",SUM(AB12:AB18))</f>
        <v>No outage</v>
      </c>
      <c r="AB45" s="132">
        <f>IF(AA6=12,"no data", AVERAGE(AA12:AA18))</f>
        <v>57</v>
      </c>
      <c r="AC45" s="139">
        <f>IF(AC12=0,"no data", SUM(AC12:AC18))</f>
        <v>685</v>
      </c>
      <c r="AD45" s="139">
        <f>IF(AD12=0,"no data", SUM(AD12:AD18))</f>
        <v>-499</v>
      </c>
      <c r="AE45" s="139">
        <f t="shared" ref="AE45:AJ45" si="39">IF(AE12=0,"no data", AVERAGE(AE12:AE18))</f>
        <v>125.57142857142857</v>
      </c>
      <c r="AF45" s="141">
        <f t="shared" si="39"/>
        <v>0.98454913076341644</v>
      </c>
      <c r="AG45" s="139">
        <f t="shared" si="39"/>
        <v>144.89880952380952</v>
      </c>
      <c r="AH45" s="141">
        <f t="shared" si="39"/>
        <v>0.825098688161919</v>
      </c>
      <c r="AI45" s="141">
        <f t="shared" si="39"/>
        <v>1</v>
      </c>
      <c r="AJ45" s="141">
        <f t="shared" si="39"/>
        <v>0.88242276077097492</v>
      </c>
      <c r="AK45" s="142">
        <f>IF(AK12=0,"no data",SUM(AK12:AK18))</f>
        <v>69.369</v>
      </c>
      <c r="AL45" s="143">
        <f>IF(AL12=0,"no data", AVERAGE(AL12:AL18))</f>
        <v>188.34714285714287</v>
      </c>
      <c r="AM45" s="140">
        <f>AK45*AL45</f>
        <v>13065.452952857144</v>
      </c>
      <c r="AN45" s="140">
        <f>IF(AN12=0,"no data", SUM(AN12:AN18))</f>
        <v>165.30556000000001</v>
      </c>
      <c r="AO45" s="142">
        <f>IF(AO12=0,"no data",AVERAGE(AO12:AO18))</f>
        <v>982.17791539587995</v>
      </c>
      <c r="AP45" s="140">
        <f>AN45*AO45</f>
        <v>162359.47032414857</v>
      </c>
      <c r="AQ45" s="144">
        <f>IF(AQ12=0,"no data", AVERAGE(AQ12:AQ18))</f>
        <v>8733.9747595582485</v>
      </c>
      <c r="AR45" s="135"/>
      <c r="AS45" s="136"/>
      <c r="BA45" s="113"/>
      <c r="BC45" s="114"/>
      <c r="BD45">
        <f>BE43*3.95</f>
        <v>355.5</v>
      </c>
      <c r="BS45" s="5"/>
      <c r="BT45" s="5"/>
      <c r="BU45" s="6"/>
    </row>
    <row r="46" spans="1:84">
      <c r="A46" s="145"/>
      <c r="B46" s="127" t="s">
        <v>261</v>
      </c>
      <c r="C46" s="140">
        <f>IF(C19=0,"no data", AVERAGE(C19:C25))</f>
        <v>92.104285714285723</v>
      </c>
      <c r="D46" s="138">
        <f>IF(D19=0,"no data", AVERAGE(D19:D25))</f>
        <v>0.66700000000000004</v>
      </c>
      <c r="E46" s="140">
        <f>IF(E19=0,"no data", AVERAGE(E19:E25))</f>
        <v>79.738571428571419</v>
      </c>
      <c r="F46" s="140">
        <f>IF(F19=0,"no data", AVERAGE(F19:F25))</f>
        <v>100.14285714285714</v>
      </c>
      <c r="G46" s="140">
        <f>IF(G19=0,"no data", AVERAGE(G19:G25))</f>
        <v>85.142857142857139</v>
      </c>
      <c r="H46" s="137">
        <f>SUM(H19:H25)+INT(SUM(I19:I25)/60)</f>
        <v>160</v>
      </c>
      <c r="I46" s="137">
        <f>SUM(I19:I25)-INT(SUM(I25:I25)/60)*60</f>
        <v>53</v>
      </c>
      <c r="J46" s="137">
        <f>SUM(J19:J25)+INT(SUM(K19:K25)/60)</f>
        <v>165</v>
      </c>
      <c r="K46" s="137">
        <f>SUM(K19:K25)-INT(SUM(K19:K25)/60)*60</f>
        <v>17</v>
      </c>
      <c r="L46" s="137">
        <f>SUM(L19:L25)+INT(SUM(M19:M25)/60)</f>
        <v>0</v>
      </c>
      <c r="M46" s="137">
        <f>SUM(M19:M25)-INT(SUM(M19:M25)/60)*60</f>
        <v>0</v>
      </c>
      <c r="N46" s="137">
        <f>SUM(N19:N25)+INT(SUM(O19:O25)/60)</f>
        <v>0</v>
      </c>
      <c r="O46" s="137">
        <f>SUM(O19:O25)-INT(SUM(O19:O25)/60)*60</f>
        <v>0</v>
      </c>
      <c r="P46" s="137">
        <f>SUM(P19:P25)+INT(SUM(Q19:Q25)/60)</f>
        <v>0</v>
      </c>
      <c r="Q46" s="137">
        <f>SUM(Q19:Q25)-INT(SUM(Q19:Q25)/60)*60</f>
        <v>0</v>
      </c>
      <c r="R46" s="139">
        <f>IF(R19=0,"no data", AVERAGE(R19:R25))</f>
        <v>3475.1428571428573</v>
      </c>
      <c r="S46" s="139">
        <f>IF(S19=0,"no data", AVERAGE(S19:S25))</f>
        <v>2849.5714285714284</v>
      </c>
      <c r="T46" s="139">
        <f>IF(T19=0,"no data", AVERAGE(T19:T25))</f>
        <v>2849.5714285714284</v>
      </c>
      <c r="U46" s="146">
        <f>IF(U19=0,"no data", SUM(U19:U25))</f>
        <v>19459</v>
      </c>
      <c r="V46" s="146">
        <f>IF(V19=0,"no data", SUM(V19:V25))</f>
        <v>20136</v>
      </c>
      <c r="W46" s="146">
        <f>IF(W19=0,"no data", AVERAGE(W19:W25))</f>
        <v>40</v>
      </c>
      <c r="X46" s="140">
        <f>IF(AND(X19=0,X20=0,X21=0,X22=0,X23=0,X24=0,X25=0),"No outage",SUM(X19:X25))</f>
        <v>409</v>
      </c>
      <c r="Y46" s="146">
        <f>IF(Y19=0,"no data", AVERAGE(Y19:Y25))</f>
        <v>42.857142857142854</v>
      </c>
      <c r="Z46" s="140">
        <f>IF(AND(Z19=0,Z20=0,Z21=0,Z22=0,Z23=0,Z24=0,Z25=0),"No outage",SUM(Z19:Z25))</f>
        <v>124</v>
      </c>
      <c r="AA46" s="132">
        <f>IF(AND(AB19=0,AB20=0,AB21=0,AB22=0,AB23=0, AB24=0,AB25=0),"No outage",SUM(AB19:AB25))</f>
        <v>189</v>
      </c>
      <c r="AB46" s="132">
        <f>IF(AA19=0,"no data", AVERAGE(AA19:AA25))</f>
        <v>57</v>
      </c>
      <c r="AC46" s="140">
        <f>IF(AC19=0,"no data", SUM(AC19:AC25))</f>
        <v>681</v>
      </c>
      <c r="AD46" s="146">
        <f>IF(AD19=0,"no data", SUM(AD19:AD25))</f>
        <v>-488</v>
      </c>
      <c r="AE46" s="140">
        <f t="shared" ref="AE46:AJ46" si="40">IF(AE19=0,"no data", AVERAGE(AE19:AE25))</f>
        <v>125.71428571428571</v>
      </c>
      <c r="AF46" s="141">
        <f t="shared" si="40"/>
        <v>0.95350238171073454</v>
      </c>
      <c r="AG46" s="140">
        <f t="shared" si="40"/>
        <v>144.79761904761907</v>
      </c>
      <c r="AH46" s="141">
        <f t="shared" si="40"/>
        <v>0.7999794274597678</v>
      </c>
      <c r="AI46" s="141">
        <f t="shared" si="40"/>
        <v>0.97699475623582777</v>
      </c>
      <c r="AJ46" s="141">
        <f t="shared" si="40"/>
        <v>0.85463568940765755</v>
      </c>
      <c r="AK46" s="140">
        <f>IF(AK19=0,"no data", SUM(AK19:AK25))</f>
        <v>61.637</v>
      </c>
      <c r="AL46" s="140">
        <f>IF(AL19=0,"no data", AVERAGE(AL19:AL25))</f>
        <v>196.31714285714287</v>
      </c>
      <c r="AM46" s="140">
        <f>AK46*AL46</f>
        <v>12100.399734285715</v>
      </c>
      <c r="AN46" s="140">
        <f>IF(AN19=0,"no data", SUM(AN19:AN24))</f>
        <v>137.26017099999999</v>
      </c>
      <c r="AO46" s="140">
        <f>IF(AO19=0,"no data", AVERAGE(AO19:AO24))</f>
        <v>978.49314231983669</v>
      </c>
      <c r="AP46" s="140">
        <f>AN46*AO46</f>
        <v>134308.1360371481</v>
      </c>
      <c r="AQ46" s="144">
        <f>IF(AQ19=0,"no data", AVERAGE(AQ19:AQ25))</f>
        <v>8708.9948259990269</v>
      </c>
      <c r="AR46" s="135"/>
      <c r="AS46" s="136"/>
      <c r="AT46" s="145"/>
      <c r="AU46" s="145"/>
      <c r="AV46" s="145"/>
      <c r="AW46" s="145"/>
      <c r="AY46" s="145"/>
      <c r="AZ46" s="145"/>
      <c r="BA46" s="113"/>
      <c r="BB46" s="145"/>
      <c r="BC46" s="114"/>
      <c r="BD46" s="145"/>
      <c r="BE46" s="145"/>
      <c r="BF46" s="145"/>
      <c r="BG46" s="145"/>
      <c r="BS46" s="5"/>
      <c r="BT46" s="5"/>
      <c r="BU46" s="6"/>
    </row>
    <row r="47" spans="1:84">
      <c r="B47" s="127" t="s">
        <v>262</v>
      </c>
      <c r="C47" s="140">
        <f>IF(C26=0,"no data", AVERAGE(C26:C32))</f>
        <v>93.34571428571428</v>
      </c>
      <c r="D47" s="140">
        <f>IF(D26=0,"no data", AVERAGE(D26:D32))</f>
        <v>0.65577142857142856</v>
      </c>
      <c r="E47" s="140">
        <f>IF(E26=0,"no data", AVERAGE(E26:E32))</f>
        <v>79.828285714285713</v>
      </c>
      <c r="F47" s="140">
        <f>IF(F26=0,"no data", AVERAGE(F26:F32))</f>
        <v>101.14285714285714</v>
      </c>
      <c r="G47" s="140">
        <f>IF(G26=0,"no data", AVERAGE(G26:G32))</f>
        <v>86.714285714285708</v>
      </c>
      <c r="H47" s="137">
        <f>SUM(H26:H32)+INT(SUM(I26:I32)/60)</f>
        <v>164</v>
      </c>
      <c r="I47" s="137">
        <f t="shared" ref="I47:O48" si="41">SUM(I26:I32)+INT(SUM(J26:J32)/60)</f>
        <v>5</v>
      </c>
      <c r="J47" s="137">
        <f t="shared" si="41"/>
        <v>164</v>
      </c>
      <c r="K47" s="137">
        <f t="shared" si="41"/>
        <v>1</v>
      </c>
      <c r="L47" s="137">
        <f t="shared" si="41"/>
        <v>0</v>
      </c>
      <c r="M47" s="137">
        <f t="shared" si="41"/>
        <v>0</v>
      </c>
      <c r="N47" s="137">
        <f t="shared" si="41"/>
        <v>0</v>
      </c>
      <c r="O47" s="137">
        <f t="shared" si="41"/>
        <v>0</v>
      </c>
      <c r="P47" s="137">
        <f>SUM(P26:P32)+INT(SUM(Q26:Q32)/60)</f>
        <v>0</v>
      </c>
      <c r="Q47" s="137">
        <f>SUM(Q26:Q32)-INT(SUM(Q26:Q32)/60)*60</f>
        <v>0</v>
      </c>
      <c r="R47" s="139">
        <f t="shared" ref="R47:T48" si="42">IF(R26=0,"no data", AVERAGE(R26:R32))</f>
        <v>3465.5714285714284</v>
      </c>
      <c r="S47" s="139">
        <f t="shared" si="42"/>
        <v>2862.5714285714284</v>
      </c>
      <c r="T47" s="139">
        <f t="shared" si="42"/>
        <v>2862.5714285714284</v>
      </c>
      <c r="U47" s="139">
        <f>IF(U26=0,"no data", SUM(U26:U32))</f>
        <v>19517</v>
      </c>
      <c r="V47" s="139">
        <f>IF(V26=0,"no data", SUM(V26:V32))</f>
        <v>20195</v>
      </c>
      <c r="W47" s="146">
        <f>IF(W26=0,"no data", AVERAGE(W26:W32))</f>
        <v>38.571428571428569</v>
      </c>
      <c r="X47" s="140" t="str">
        <f>IF(AND(X26=0,X27=0,X28=0,X29=0,X30=0,X31=0,X32=0),"No outage",SUM(X26:X32))</f>
        <v>No outage</v>
      </c>
      <c r="Y47" s="146">
        <f>IF(Y26=0,"no data", AVERAGE(Y26:Y32))</f>
        <v>42.285714285714285</v>
      </c>
      <c r="Z47" s="140" t="str">
        <f>IF(AND(Z26=0,Z27=0,Z28=0,Z29=0,Z30=0,Z31=0,Z32=0),"No outage",SUM(Z26:Z32))</f>
        <v>No outage</v>
      </c>
      <c r="AA47" s="140">
        <f>IF(AND(AA26=0,AA27=0,AA28=0,AA29=0,AA30=0,AA31=0,AA32=0),"No outage",SUM(AA26:AA32))</f>
        <v>399</v>
      </c>
      <c r="AB47" s="132">
        <f>IF(AA26=0,"no data", AVERAGE(AA26:AA32))</f>
        <v>57</v>
      </c>
      <c r="AC47" s="139">
        <f>IF(AC26=0,"no data", SUM(AC26:AC32))</f>
        <v>678</v>
      </c>
      <c r="AD47" s="139">
        <f>IF(AD26=0,"no data", SUM(AD26:AD32))</f>
        <v>-521</v>
      </c>
      <c r="AE47" s="146">
        <f t="shared" ref="AE47:AJ47" si="43">IF(AE26=0,"no data", AVERAGE(AE26:AE32))</f>
        <v>124.14285714285714</v>
      </c>
      <c r="AF47" s="138">
        <f t="shared" si="43"/>
        <v>0.96832389373268324</v>
      </c>
      <c r="AG47" s="140">
        <f t="shared" si="43"/>
        <v>144.39880952380955</v>
      </c>
      <c r="AH47" s="138">
        <f t="shared" si="43"/>
        <v>0.80450483911947701</v>
      </c>
      <c r="AI47" s="138">
        <f t="shared" si="43"/>
        <v>0.99044973544973547</v>
      </c>
      <c r="AJ47" s="138">
        <f t="shared" si="43"/>
        <v>0.86248534958880974</v>
      </c>
      <c r="AK47" s="139">
        <f>IF(AK26=0,"no data", SUM(AK26:AK32))</f>
        <v>61.623999999999995</v>
      </c>
      <c r="AL47" s="140">
        <f>IF(AL26=0,"no data", AVERAGE(AL26:AL32))</f>
        <v>200.51285714285714</v>
      </c>
      <c r="AM47" s="140">
        <f>AK47*AL47</f>
        <v>12356.404308571427</v>
      </c>
      <c r="AN47" s="140">
        <f>IF(AN26=0,"no data", SUM(AN26:AN32))</f>
        <v>161.92408699999999</v>
      </c>
      <c r="AO47" s="140">
        <f>IF(AO26=0,"no data", AVERAGE(AO26:AO32))</f>
        <v>981.30348000159506</v>
      </c>
      <c r="AP47" s="140">
        <f>AN47*AO47</f>
        <v>158896.67006918101</v>
      </c>
      <c r="AQ47" s="144">
        <f>IF(AQ26=0,"no data", AVERAGE(AQ26:AQ32))</f>
        <v>8776.7259181376394</v>
      </c>
      <c r="AR47" s="135"/>
      <c r="AS47" s="136"/>
      <c r="AX47">
        <f>9/40</f>
        <v>0.22500000000000001</v>
      </c>
      <c r="BA47" s="360">
        <f>9/40</f>
        <v>0.22500000000000001</v>
      </c>
      <c r="BC47" s="114"/>
      <c r="BS47" s="5"/>
      <c r="BT47" s="5"/>
      <c r="BU47" s="6"/>
    </row>
    <row r="48" spans="1:84">
      <c r="B48" s="127" t="s">
        <v>263</v>
      </c>
      <c r="C48" s="140">
        <f>IF(C33=0,"no data", AVERAGE(C33:C37))</f>
        <v>93.413999999999987</v>
      </c>
      <c r="D48" s="140">
        <f>IF(D33=0,"no data", AVERAGE(D33:D37))</f>
        <v>0.61865999999999999</v>
      </c>
      <c r="E48" s="140">
        <f>IF(E33=0,"no data", AVERAGE(E33:E37))</f>
        <v>77.831999999999994</v>
      </c>
      <c r="F48" s="140">
        <f>IF(F33=0,"no data", AVERAGE(F33:F37))</f>
        <v>102.44000000000001</v>
      </c>
      <c r="G48" s="140">
        <f>IF(G33=0,"no data", AVERAGE(G33:G37))</f>
        <v>84.52000000000001</v>
      </c>
      <c r="H48" s="137">
        <f>SUM(H27:H33)+INT(SUM(I27:I33)/60)</f>
        <v>164</v>
      </c>
      <c r="I48" s="137">
        <f t="shared" si="41"/>
        <v>5</v>
      </c>
      <c r="J48" s="137">
        <f t="shared" si="41"/>
        <v>164</v>
      </c>
      <c r="K48" s="137">
        <f t="shared" si="41"/>
        <v>1</v>
      </c>
      <c r="L48" s="137">
        <f t="shared" si="41"/>
        <v>0</v>
      </c>
      <c r="M48" s="137">
        <f t="shared" si="41"/>
        <v>0</v>
      </c>
      <c r="N48" s="137">
        <f t="shared" si="41"/>
        <v>0</v>
      </c>
      <c r="O48" s="137">
        <f t="shared" si="41"/>
        <v>0</v>
      </c>
      <c r="P48" s="137">
        <f>SUM(P27:P33)+INT(SUM(Q27:Q33)/60)</f>
        <v>0</v>
      </c>
      <c r="Q48" s="137">
        <f>SUM(Q27:Q33)-INT(SUM(Q27:Q33)/60)*60</f>
        <v>0</v>
      </c>
      <c r="R48" s="139">
        <f t="shared" si="42"/>
        <v>3468</v>
      </c>
      <c r="S48" s="139">
        <f t="shared" si="42"/>
        <v>2867.2857142857142</v>
      </c>
      <c r="T48" s="139">
        <f t="shared" si="42"/>
        <v>2867.2857142857142</v>
      </c>
      <c r="U48" s="139" t="e">
        <f>IF(#REF!=0,"no data", SUM(#REF!))</f>
        <v>#REF!</v>
      </c>
      <c r="V48" s="139" t="e">
        <f>IF(#REF!=0,"no data", SUM(#REF!))</f>
        <v>#REF!</v>
      </c>
      <c r="W48" s="146" t="e">
        <f>IF(#REF!=0,"no data", AVERAGE(#REF!))</f>
        <v>#REF!</v>
      </c>
      <c r="X48" s="140" t="e">
        <f>IF(AND(#REF!=0,#REF!=0,#REF!=0,#REF!=0,#REF!=0,#REF!=0,#REF!=0),"No outage",SUM(#REF!))</f>
        <v>#REF!</v>
      </c>
      <c r="Y48" s="146" t="e">
        <f>IF(#REF!=0,"no data", AVERAGE(#REF!))</f>
        <v>#REF!</v>
      </c>
      <c r="Z48" s="140" t="e">
        <f>IF(AND(#REF!=0,#REF!=0,#REF!=0,#REF!=0,#REF!=0,#REF!=0,#REF!=0),"No outage",SUM(#REF!))</f>
        <v>#REF!</v>
      </c>
      <c r="AA48" s="140" t="e">
        <f>IF(AND(#REF!=0,#REF!=0,#REF!=0,#REF!=0,#REF!=0,#REF!=0,#REF!=0),"No outage",SUM(#REF!))</f>
        <v>#REF!</v>
      </c>
      <c r="AB48" s="132" t="e">
        <f>IF(#REF!=0,"no data", AVERAGE(#REF!))</f>
        <v>#REF!</v>
      </c>
      <c r="AC48" s="139" t="e">
        <f>IF(#REF!=0,"no data", SUM(#REF!))</f>
        <v>#REF!</v>
      </c>
      <c r="AD48" s="139" t="e">
        <f>IF(#REF!=0,"no data", SUM(#REF!))</f>
        <v>#REF!</v>
      </c>
      <c r="AE48" s="146" t="e">
        <f>IF(#REF!=0,"no data", AVERAGE(#REF!))</f>
        <v>#REF!</v>
      </c>
      <c r="AF48" s="138" t="e">
        <f>IF(#REF!=0,"no data", AVERAGE(#REF!))</f>
        <v>#REF!</v>
      </c>
      <c r="AG48" s="140" t="e">
        <f>IF(#REF!=0,"no data", AVERAGE(#REF!))</f>
        <v>#REF!</v>
      </c>
      <c r="AH48" s="138" t="e">
        <f>IF(#REF!=0,"no data", AVERAGE(#REF!))</f>
        <v>#REF!</v>
      </c>
      <c r="AI48" s="138" t="e">
        <f>IF(AI27=0,"no data", AVERAGE(#REF!))</f>
        <v>#REF!</v>
      </c>
      <c r="AJ48" s="138" t="e">
        <f>IF(#REF!=0,"no data", AVERAGE(#REF!))</f>
        <v>#REF!</v>
      </c>
      <c r="AK48" s="139" t="e">
        <f>IF(#REF!=0,"no data", SUM(#REF!))</f>
        <v>#REF!</v>
      </c>
      <c r="AL48" s="140" t="e">
        <f>IF(#REF!=0,"no data", AVERAGE(#REF!))</f>
        <v>#REF!</v>
      </c>
      <c r="AM48" s="140" t="e">
        <f>AK48*AL48</f>
        <v>#REF!</v>
      </c>
      <c r="AN48" s="140" t="e">
        <f>IF(#REF!=0,"no data", SUM(#REF!))</f>
        <v>#REF!</v>
      </c>
      <c r="AO48" s="140" t="e">
        <f>IF(#REF!=0,"no data", AVERAGE(#REF!))</f>
        <v>#REF!</v>
      </c>
      <c r="AP48" s="140" t="e">
        <f>AN48*AO48</f>
        <v>#REF!</v>
      </c>
      <c r="AQ48" s="140" t="e">
        <f>IF(#REF!=0,"no data", AVERAGE(#REF!))</f>
        <v>#REF!</v>
      </c>
      <c r="AR48" s="135"/>
      <c r="AS48" s="136"/>
      <c r="BA48" s="113"/>
      <c r="BC48" s="114"/>
      <c r="BS48" s="5"/>
      <c r="BT48" s="5"/>
      <c r="BU48" s="6"/>
    </row>
    <row r="49" spans="2:73">
      <c r="B49" s="147"/>
      <c r="C49" s="148"/>
      <c r="D49" s="148"/>
      <c r="E49" s="148"/>
      <c r="F49" s="148"/>
      <c r="G49" s="149"/>
      <c r="H49" s="149"/>
      <c r="I49" s="149"/>
      <c r="J49" s="149"/>
      <c r="K49" s="150"/>
      <c r="L49" s="150"/>
      <c r="M49" s="150"/>
      <c r="N49" s="150"/>
      <c r="O49" s="151"/>
      <c r="P49" s="151"/>
      <c r="Q49" s="148"/>
      <c r="R49" s="148"/>
      <c r="S49" s="148"/>
      <c r="T49" s="148"/>
      <c r="U49" s="148"/>
      <c r="V49" s="148"/>
      <c r="W49" s="148"/>
      <c r="X49" s="148"/>
      <c r="Y49" s="148"/>
      <c r="Z49" s="148"/>
      <c r="AA49" s="148"/>
      <c r="AB49" s="148"/>
      <c r="AC49" s="151"/>
      <c r="AD49" s="151"/>
      <c r="AE49" s="148"/>
      <c r="AF49" s="151"/>
      <c r="AG49" s="151"/>
      <c r="AH49" s="148"/>
      <c r="AI49" s="148"/>
      <c r="AJ49" s="148"/>
      <c r="AK49" s="148"/>
      <c r="AL49" s="148"/>
      <c r="AM49" s="148"/>
      <c r="AQ49" s="126"/>
      <c r="AR49" s="126"/>
      <c r="AS49" s="126"/>
      <c r="AT49" s="126"/>
      <c r="BA49" s="113"/>
      <c r="BC49" s="114"/>
      <c r="BS49" s="5"/>
      <c r="BT49" s="5"/>
      <c r="BU49" s="6"/>
    </row>
    <row r="50" spans="2:73" ht="15.75" thickBot="1">
      <c r="B50" s="147"/>
      <c r="C50" s="148"/>
      <c r="D50" s="148"/>
      <c r="E50" s="148"/>
      <c r="F50" s="148"/>
      <c r="G50" s="149"/>
      <c r="H50" s="149"/>
      <c r="I50" s="149"/>
      <c r="J50" s="149"/>
      <c r="K50" s="150"/>
      <c r="L50" s="150"/>
      <c r="M50" s="150"/>
      <c r="N50" s="150"/>
      <c r="O50" s="151"/>
      <c r="P50" s="151"/>
      <c r="Q50" s="148"/>
      <c r="R50" s="148"/>
      <c r="S50" s="148"/>
      <c r="T50" s="148"/>
      <c r="U50" s="148"/>
      <c r="V50" s="148"/>
      <c r="W50" s="148"/>
      <c r="X50" s="148"/>
      <c r="Y50" s="148"/>
      <c r="Z50" s="148"/>
      <c r="AA50" s="148"/>
      <c r="AB50" s="148"/>
      <c r="AC50" s="151"/>
      <c r="AD50" s="151"/>
      <c r="AE50" s="148"/>
      <c r="AF50" s="151"/>
      <c r="AG50" s="151"/>
      <c r="AH50" s="148"/>
      <c r="AI50" s="148"/>
      <c r="AJ50" s="148"/>
      <c r="AK50" s="148"/>
      <c r="AL50" s="148"/>
      <c r="AM50" s="148"/>
      <c r="AQ50" s="126"/>
      <c r="AR50" s="126"/>
      <c r="AS50" s="126"/>
      <c r="AT50" s="126"/>
      <c r="BA50" s="361">
        <f>BA47*3.95</f>
        <v>0.88875000000000004</v>
      </c>
      <c r="BC50" s="114"/>
      <c r="BS50" s="5"/>
      <c r="BT50" s="5"/>
      <c r="BU50" s="6"/>
    </row>
    <row r="51" spans="2:73" ht="16.5" thickTop="1">
      <c r="B51" s="152" t="s">
        <v>121</v>
      </c>
      <c r="C51" s="430" t="s">
        <v>122</v>
      </c>
      <c r="D51" s="431"/>
      <c r="E51" s="431"/>
      <c r="F51" s="431"/>
      <c r="G51" s="431"/>
      <c r="H51" s="431"/>
      <c r="I51" s="431"/>
      <c r="J51" s="431"/>
      <c r="K51" s="431"/>
      <c r="L51" s="431"/>
      <c r="M51" s="431"/>
      <c r="N51" s="431"/>
      <c r="O51" s="431"/>
      <c r="P51" s="431"/>
      <c r="Q51" s="431"/>
      <c r="R51" s="431"/>
      <c r="S51" s="431"/>
      <c r="T51" s="431"/>
      <c r="U51" s="431"/>
      <c r="V51" s="431"/>
      <c r="W51" s="431"/>
      <c r="X51" s="431"/>
      <c r="Y51" s="431"/>
      <c r="Z51" s="431"/>
      <c r="AA51" s="431"/>
      <c r="AB51" s="431"/>
      <c r="AC51" s="431"/>
      <c r="AD51" s="431"/>
      <c r="AE51" s="432"/>
      <c r="AF51" s="151"/>
      <c r="AG51" s="151"/>
      <c r="AH51" s="148"/>
      <c r="AI51" s="148"/>
      <c r="AJ51" s="148"/>
      <c r="AK51" s="148"/>
      <c r="AL51" s="148"/>
      <c r="AM51" s="148"/>
      <c r="AQ51" s="126"/>
      <c r="AR51" s="126"/>
      <c r="AS51" s="126"/>
      <c r="AT51" s="126"/>
      <c r="BA51" s="113"/>
      <c r="BS51" s="5"/>
      <c r="BT51" s="5"/>
      <c r="BU51" s="6"/>
    </row>
    <row r="52" spans="2:73" ht="15.75">
      <c r="B52" s="153">
        <v>43313</v>
      </c>
      <c r="C52" s="526" t="s">
        <v>230</v>
      </c>
      <c r="D52" s="527"/>
      <c r="E52" s="527"/>
      <c r="F52" s="527"/>
      <c r="G52" s="527"/>
      <c r="H52" s="527"/>
      <c r="I52" s="527"/>
      <c r="J52" s="527"/>
      <c r="K52" s="527"/>
      <c r="L52" s="527"/>
      <c r="M52" s="527"/>
      <c r="N52" s="527"/>
      <c r="O52" s="527"/>
      <c r="P52" s="527"/>
      <c r="Q52" s="527"/>
      <c r="R52" s="527"/>
      <c r="S52" s="527"/>
      <c r="T52" s="527"/>
      <c r="U52" s="527"/>
      <c r="V52" s="527"/>
      <c r="W52" s="527"/>
      <c r="X52" s="527"/>
      <c r="Y52" s="527"/>
      <c r="Z52" s="527"/>
      <c r="AA52" s="527"/>
      <c r="AB52" s="527"/>
      <c r="AC52" s="527"/>
      <c r="AD52" s="527"/>
      <c r="AE52" s="528"/>
      <c r="AF52" s="151"/>
      <c r="AG52" s="151"/>
      <c r="AH52" s="148"/>
      <c r="AI52" s="148"/>
      <c r="AJ52" s="148"/>
      <c r="AK52" s="148"/>
      <c r="AL52" s="148"/>
      <c r="AM52" s="148"/>
      <c r="AQ52" s="126"/>
      <c r="AR52" s="126"/>
      <c r="AS52" s="126"/>
      <c r="AT52" s="126"/>
      <c r="BA52" s="113"/>
      <c r="BS52" s="5"/>
      <c r="BT52" s="5"/>
      <c r="BU52" s="6"/>
    </row>
    <row r="53" spans="2:73" ht="15.75">
      <c r="B53" s="153">
        <v>43314</v>
      </c>
      <c r="C53" s="526" t="s">
        <v>233</v>
      </c>
      <c r="D53" s="527"/>
      <c r="E53" s="527"/>
      <c r="F53" s="527"/>
      <c r="G53" s="527"/>
      <c r="H53" s="527"/>
      <c r="I53" s="527"/>
      <c r="J53" s="527"/>
      <c r="K53" s="527"/>
      <c r="L53" s="527"/>
      <c r="M53" s="527"/>
      <c r="N53" s="527"/>
      <c r="O53" s="527"/>
      <c r="P53" s="527"/>
      <c r="Q53" s="527"/>
      <c r="R53" s="527"/>
      <c r="S53" s="527"/>
      <c r="T53" s="527"/>
      <c r="U53" s="527"/>
      <c r="V53" s="527"/>
      <c r="W53" s="527"/>
      <c r="X53" s="527"/>
      <c r="Y53" s="527"/>
      <c r="Z53" s="527"/>
      <c r="AA53" s="527"/>
      <c r="AB53" s="527"/>
      <c r="AC53" s="527"/>
      <c r="AD53" s="527"/>
      <c r="AE53" s="528"/>
      <c r="AF53" s="151"/>
      <c r="AG53" s="151"/>
      <c r="AH53" s="148"/>
      <c r="AI53" s="148"/>
      <c r="AJ53" s="148"/>
      <c r="AK53" s="148"/>
      <c r="AL53" s="148"/>
      <c r="AM53" s="148"/>
      <c r="AQ53" s="126"/>
      <c r="AR53" s="126"/>
      <c r="AS53" s="126"/>
      <c r="AT53" s="126"/>
      <c r="BA53" s="113"/>
      <c r="BS53" s="5"/>
      <c r="BT53" s="5"/>
      <c r="BU53" s="6"/>
    </row>
    <row r="54" spans="2:73" ht="15.75">
      <c r="B54" s="153">
        <v>43315</v>
      </c>
      <c r="C54" s="526" t="s">
        <v>228</v>
      </c>
      <c r="D54" s="527"/>
      <c r="E54" s="527"/>
      <c r="F54" s="527"/>
      <c r="G54" s="527"/>
      <c r="H54" s="527"/>
      <c r="I54" s="527"/>
      <c r="J54" s="527"/>
      <c r="K54" s="527"/>
      <c r="L54" s="527"/>
      <c r="M54" s="527"/>
      <c r="N54" s="527"/>
      <c r="O54" s="527"/>
      <c r="P54" s="527"/>
      <c r="Q54" s="527"/>
      <c r="R54" s="527"/>
      <c r="S54" s="527"/>
      <c r="T54" s="527"/>
      <c r="U54" s="527"/>
      <c r="V54" s="527"/>
      <c r="W54" s="527"/>
      <c r="X54" s="527"/>
      <c r="Y54" s="527"/>
      <c r="Z54" s="527"/>
      <c r="AA54" s="527"/>
      <c r="AB54" s="527"/>
      <c r="AC54" s="527"/>
      <c r="AD54" s="527"/>
      <c r="AE54" s="528"/>
      <c r="AF54" s="151"/>
      <c r="AG54" s="151"/>
      <c r="AH54" s="148"/>
      <c r="AI54" s="148"/>
      <c r="AJ54" s="148"/>
      <c r="AK54" s="148"/>
      <c r="AL54" s="148"/>
      <c r="AM54" s="148"/>
      <c r="AQ54" s="126"/>
      <c r="AR54" s="126"/>
      <c r="AS54" s="126"/>
      <c r="AT54" s="126"/>
      <c r="BA54" s="113"/>
      <c r="BS54" s="5"/>
      <c r="BT54" s="5"/>
      <c r="BU54" s="6"/>
    </row>
    <row r="55" spans="2:73" ht="15.75">
      <c r="B55" s="153">
        <v>43316</v>
      </c>
      <c r="C55" s="526" t="s">
        <v>228</v>
      </c>
      <c r="D55" s="527"/>
      <c r="E55" s="527"/>
      <c r="F55" s="527"/>
      <c r="G55" s="527"/>
      <c r="H55" s="527"/>
      <c r="I55" s="527"/>
      <c r="J55" s="527"/>
      <c r="K55" s="527"/>
      <c r="L55" s="527"/>
      <c r="M55" s="527"/>
      <c r="N55" s="527"/>
      <c r="O55" s="527"/>
      <c r="P55" s="527"/>
      <c r="Q55" s="527"/>
      <c r="R55" s="527"/>
      <c r="S55" s="527"/>
      <c r="T55" s="527"/>
      <c r="U55" s="527"/>
      <c r="V55" s="527"/>
      <c r="W55" s="527"/>
      <c r="X55" s="527"/>
      <c r="Y55" s="527"/>
      <c r="Z55" s="527"/>
      <c r="AA55" s="527"/>
      <c r="AB55" s="527"/>
      <c r="AC55" s="527"/>
      <c r="AD55" s="527"/>
      <c r="AE55" s="528"/>
      <c r="AF55" s="151"/>
      <c r="AG55" s="151"/>
      <c r="AH55" s="148"/>
      <c r="AI55" s="148"/>
      <c r="AJ55" s="148"/>
      <c r="AK55" s="148"/>
      <c r="AL55" s="148"/>
      <c r="AM55" s="148"/>
      <c r="AQ55" s="126"/>
      <c r="AR55" s="126"/>
      <c r="AS55" s="126"/>
      <c r="AT55" s="126"/>
      <c r="BA55" s="113"/>
      <c r="BS55" s="5"/>
      <c r="BT55" s="5"/>
      <c r="BU55" s="6"/>
    </row>
    <row r="56" spans="2:73" ht="15.75">
      <c r="B56" s="153">
        <v>43317</v>
      </c>
      <c r="C56" s="526" t="s">
        <v>233</v>
      </c>
      <c r="D56" s="527"/>
      <c r="E56" s="527"/>
      <c r="F56" s="527"/>
      <c r="G56" s="527"/>
      <c r="H56" s="527"/>
      <c r="I56" s="527"/>
      <c r="J56" s="527"/>
      <c r="K56" s="527"/>
      <c r="L56" s="527"/>
      <c r="M56" s="527"/>
      <c r="N56" s="527"/>
      <c r="O56" s="527"/>
      <c r="P56" s="527"/>
      <c r="Q56" s="527"/>
      <c r="R56" s="527"/>
      <c r="S56" s="527"/>
      <c r="T56" s="527"/>
      <c r="U56" s="527"/>
      <c r="V56" s="527"/>
      <c r="W56" s="527"/>
      <c r="X56" s="527"/>
      <c r="Y56" s="527"/>
      <c r="Z56" s="527"/>
      <c r="AA56" s="527"/>
      <c r="AB56" s="527"/>
      <c r="AC56" s="527"/>
      <c r="AD56" s="527"/>
      <c r="AE56" s="528"/>
      <c r="AF56" s="151"/>
      <c r="AG56" s="151"/>
      <c r="AH56" s="148"/>
      <c r="AI56" s="148"/>
      <c r="AJ56" s="148"/>
      <c r="AK56" s="148"/>
      <c r="AL56" s="148"/>
      <c r="AM56" s="148"/>
      <c r="AQ56" s="126"/>
      <c r="AR56" s="126"/>
      <c r="AS56" s="126"/>
      <c r="AT56" s="126"/>
      <c r="BA56" s="113"/>
      <c r="BS56" s="5"/>
      <c r="BT56" s="5"/>
      <c r="BU56" s="6"/>
    </row>
    <row r="57" spans="2:73" ht="15.75">
      <c r="B57" s="153">
        <v>43318</v>
      </c>
      <c r="C57" s="526" t="s">
        <v>233</v>
      </c>
      <c r="D57" s="527"/>
      <c r="E57" s="527"/>
      <c r="F57" s="527"/>
      <c r="G57" s="527"/>
      <c r="H57" s="527"/>
      <c r="I57" s="527"/>
      <c r="J57" s="527"/>
      <c r="K57" s="527"/>
      <c r="L57" s="527"/>
      <c r="M57" s="527"/>
      <c r="N57" s="527"/>
      <c r="O57" s="527"/>
      <c r="P57" s="527"/>
      <c r="Q57" s="527"/>
      <c r="R57" s="527"/>
      <c r="S57" s="527"/>
      <c r="T57" s="527"/>
      <c r="U57" s="527"/>
      <c r="V57" s="527"/>
      <c r="W57" s="527"/>
      <c r="X57" s="527"/>
      <c r="Y57" s="527"/>
      <c r="Z57" s="527"/>
      <c r="AA57" s="527"/>
      <c r="AB57" s="527"/>
      <c r="AC57" s="527"/>
      <c r="AD57" s="527"/>
      <c r="AE57" s="528"/>
      <c r="AF57" s="151"/>
      <c r="AG57" s="151"/>
      <c r="AH57" s="148"/>
      <c r="AI57" s="148"/>
      <c r="AJ57" s="148"/>
      <c r="AK57" s="148"/>
      <c r="AL57" s="148"/>
      <c r="AM57" s="148"/>
      <c r="AQ57" s="126"/>
      <c r="AR57" s="126"/>
      <c r="AS57" s="126"/>
      <c r="AT57" s="126"/>
      <c r="BA57" s="113"/>
      <c r="BS57" s="5"/>
      <c r="BT57" s="5"/>
      <c r="BU57" s="6"/>
    </row>
    <row r="58" spans="2:73" ht="15.75">
      <c r="B58" s="153">
        <v>43319</v>
      </c>
      <c r="C58" s="526" t="s">
        <v>228</v>
      </c>
      <c r="D58" s="527"/>
      <c r="E58" s="527"/>
      <c r="F58" s="527"/>
      <c r="G58" s="527"/>
      <c r="H58" s="527"/>
      <c r="I58" s="527"/>
      <c r="J58" s="527"/>
      <c r="K58" s="527"/>
      <c r="L58" s="527"/>
      <c r="M58" s="527"/>
      <c r="N58" s="527"/>
      <c r="O58" s="527"/>
      <c r="P58" s="527"/>
      <c r="Q58" s="527"/>
      <c r="R58" s="527"/>
      <c r="S58" s="527"/>
      <c r="T58" s="527"/>
      <c r="U58" s="527"/>
      <c r="V58" s="527"/>
      <c r="W58" s="527"/>
      <c r="X58" s="527"/>
      <c r="Y58" s="527"/>
      <c r="Z58" s="527"/>
      <c r="AA58" s="527"/>
      <c r="AB58" s="527"/>
      <c r="AC58" s="527"/>
      <c r="AD58" s="527"/>
      <c r="AE58" s="528"/>
      <c r="AF58" s="151"/>
      <c r="AG58" s="151"/>
      <c r="AH58" s="148"/>
      <c r="AI58" s="148"/>
      <c r="AJ58" s="148"/>
      <c r="AK58" s="148"/>
      <c r="AL58" s="148"/>
      <c r="AM58" s="148"/>
      <c r="AQ58" s="126"/>
      <c r="AR58" s="126"/>
      <c r="AS58" s="126"/>
      <c r="AT58" s="126"/>
      <c r="BA58" s="113"/>
      <c r="BS58" s="5"/>
      <c r="BT58" s="5"/>
      <c r="BU58" s="6"/>
    </row>
    <row r="59" spans="2:73" ht="15.75">
      <c r="B59" s="153">
        <v>43320</v>
      </c>
      <c r="C59" s="526" t="s">
        <v>230</v>
      </c>
      <c r="D59" s="527"/>
      <c r="E59" s="527"/>
      <c r="F59" s="527"/>
      <c r="G59" s="527"/>
      <c r="H59" s="527"/>
      <c r="I59" s="527"/>
      <c r="J59" s="527"/>
      <c r="K59" s="527"/>
      <c r="L59" s="527"/>
      <c r="M59" s="527"/>
      <c r="N59" s="527"/>
      <c r="O59" s="527"/>
      <c r="P59" s="527"/>
      <c r="Q59" s="527"/>
      <c r="R59" s="527"/>
      <c r="S59" s="527"/>
      <c r="T59" s="527"/>
      <c r="U59" s="527"/>
      <c r="V59" s="527"/>
      <c r="W59" s="527"/>
      <c r="X59" s="527"/>
      <c r="Y59" s="527"/>
      <c r="Z59" s="527"/>
      <c r="AA59" s="527"/>
      <c r="AB59" s="527"/>
      <c r="AC59" s="527"/>
      <c r="AD59" s="527"/>
      <c r="AE59" s="528"/>
      <c r="AF59" s="151"/>
      <c r="AG59" s="151"/>
      <c r="AH59" s="148"/>
      <c r="AI59" s="148"/>
      <c r="AJ59" s="148"/>
      <c r="AK59" s="148"/>
      <c r="AL59" s="148"/>
      <c r="AM59" s="148"/>
      <c r="AQ59" s="126"/>
      <c r="AR59" s="126"/>
      <c r="AS59" s="126"/>
      <c r="AT59" s="126"/>
      <c r="BA59" s="113"/>
      <c r="BS59" s="5"/>
      <c r="BT59" s="5"/>
      <c r="BU59" s="6"/>
    </row>
    <row r="60" spans="2:73" ht="15.75">
      <c r="B60" s="153">
        <v>43321</v>
      </c>
      <c r="C60" s="526" t="s">
        <v>254</v>
      </c>
      <c r="D60" s="527"/>
      <c r="E60" s="527"/>
      <c r="F60" s="527"/>
      <c r="G60" s="527"/>
      <c r="H60" s="527"/>
      <c r="I60" s="527"/>
      <c r="J60" s="527"/>
      <c r="K60" s="527"/>
      <c r="L60" s="527"/>
      <c r="M60" s="527"/>
      <c r="N60" s="527"/>
      <c r="O60" s="527"/>
      <c r="P60" s="527"/>
      <c r="Q60" s="527"/>
      <c r="R60" s="527"/>
      <c r="S60" s="527"/>
      <c r="T60" s="527"/>
      <c r="U60" s="527"/>
      <c r="V60" s="527"/>
      <c r="W60" s="527"/>
      <c r="X60" s="527"/>
      <c r="Y60" s="527"/>
      <c r="Z60" s="527"/>
      <c r="AA60" s="527"/>
      <c r="AB60" s="527"/>
      <c r="AC60" s="527"/>
      <c r="AD60" s="527"/>
      <c r="AE60" s="528"/>
      <c r="AF60" s="151"/>
      <c r="AG60" s="151"/>
      <c r="AH60" s="148"/>
      <c r="AI60" s="148"/>
      <c r="AJ60" s="148"/>
      <c r="AK60" s="148"/>
      <c r="AL60" s="148"/>
      <c r="AM60" s="148"/>
      <c r="AQ60" s="126"/>
      <c r="AR60" s="126"/>
      <c r="AS60" s="126"/>
      <c r="AT60" s="126"/>
      <c r="BA60" s="113"/>
      <c r="BS60" s="5"/>
      <c r="BT60" s="5"/>
      <c r="BU60" s="6"/>
    </row>
    <row r="61" spans="2:73" ht="15.75">
      <c r="B61" s="153">
        <v>43322</v>
      </c>
      <c r="C61" s="526" t="s">
        <v>264</v>
      </c>
      <c r="D61" s="527"/>
      <c r="E61" s="527"/>
      <c r="F61" s="527"/>
      <c r="G61" s="527"/>
      <c r="H61" s="527"/>
      <c r="I61" s="527"/>
      <c r="J61" s="527"/>
      <c r="K61" s="527"/>
      <c r="L61" s="527"/>
      <c r="M61" s="527"/>
      <c r="N61" s="527"/>
      <c r="O61" s="527"/>
      <c r="P61" s="527"/>
      <c r="Q61" s="527"/>
      <c r="R61" s="527"/>
      <c r="S61" s="527"/>
      <c r="T61" s="527"/>
      <c r="U61" s="527"/>
      <c r="V61" s="527"/>
      <c r="W61" s="527"/>
      <c r="X61" s="527"/>
      <c r="Y61" s="527"/>
      <c r="Z61" s="527"/>
      <c r="AA61" s="527"/>
      <c r="AB61" s="527"/>
      <c r="AC61" s="527"/>
      <c r="AD61" s="527"/>
      <c r="AE61" s="528"/>
      <c r="AF61" s="151"/>
      <c r="AG61" s="151"/>
      <c r="AH61" s="148"/>
      <c r="AI61" s="148"/>
      <c r="AJ61" s="148"/>
      <c r="AK61" s="148"/>
      <c r="AL61" s="148"/>
      <c r="AM61" s="148"/>
      <c r="AQ61" s="126"/>
      <c r="AR61" s="126"/>
      <c r="AS61" s="126"/>
      <c r="AT61" s="126"/>
      <c r="BA61" s="113"/>
      <c r="BS61" s="5"/>
      <c r="BT61" s="5"/>
      <c r="BU61" s="6"/>
    </row>
    <row r="62" spans="2:73" ht="15.75">
      <c r="B62" s="153">
        <v>43323</v>
      </c>
      <c r="C62" s="526" t="s">
        <v>230</v>
      </c>
      <c r="D62" s="527"/>
      <c r="E62" s="527"/>
      <c r="F62" s="527"/>
      <c r="G62" s="527"/>
      <c r="H62" s="527"/>
      <c r="I62" s="527"/>
      <c r="J62" s="527"/>
      <c r="K62" s="527"/>
      <c r="L62" s="527"/>
      <c r="M62" s="527"/>
      <c r="N62" s="527"/>
      <c r="O62" s="527"/>
      <c r="P62" s="527"/>
      <c r="Q62" s="527"/>
      <c r="R62" s="527"/>
      <c r="S62" s="527"/>
      <c r="T62" s="527"/>
      <c r="U62" s="527"/>
      <c r="V62" s="527"/>
      <c r="W62" s="527"/>
      <c r="X62" s="527"/>
      <c r="Y62" s="527"/>
      <c r="Z62" s="527"/>
      <c r="AA62" s="527"/>
      <c r="AB62" s="527"/>
      <c r="AC62" s="527"/>
      <c r="AD62" s="527"/>
      <c r="AE62" s="528"/>
      <c r="AF62" s="151"/>
      <c r="AG62" s="151"/>
      <c r="AH62" s="148"/>
      <c r="AI62" s="148"/>
      <c r="AJ62" s="148"/>
      <c r="AK62" s="148"/>
      <c r="AL62" s="148"/>
      <c r="AM62" s="148"/>
      <c r="AQ62" s="126"/>
      <c r="AR62" s="126"/>
      <c r="AS62" s="126"/>
      <c r="AT62" s="126"/>
      <c r="BA62" s="113"/>
      <c r="BS62" s="5"/>
      <c r="BT62" s="5"/>
      <c r="BU62" s="6"/>
    </row>
    <row r="63" spans="2:73" ht="15.75">
      <c r="B63" s="153">
        <v>43324</v>
      </c>
      <c r="C63" s="526" t="s">
        <v>230</v>
      </c>
      <c r="D63" s="527"/>
      <c r="E63" s="527"/>
      <c r="F63" s="527"/>
      <c r="G63" s="527"/>
      <c r="H63" s="527"/>
      <c r="I63" s="527"/>
      <c r="J63" s="527"/>
      <c r="K63" s="527"/>
      <c r="L63" s="527"/>
      <c r="M63" s="527"/>
      <c r="N63" s="527"/>
      <c r="O63" s="527"/>
      <c r="P63" s="527"/>
      <c r="Q63" s="527"/>
      <c r="R63" s="527"/>
      <c r="S63" s="527"/>
      <c r="T63" s="527"/>
      <c r="U63" s="527"/>
      <c r="V63" s="527"/>
      <c r="W63" s="527"/>
      <c r="X63" s="527"/>
      <c r="Y63" s="527"/>
      <c r="Z63" s="527"/>
      <c r="AA63" s="527"/>
      <c r="AB63" s="527"/>
      <c r="AC63" s="527"/>
      <c r="AD63" s="527"/>
      <c r="AE63" s="528"/>
      <c r="AF63" s="151"/>
      <c r="AG63" s="151"/>
      <c r="AH63" s="148"/>
      <c r="AI63" s="148"/>
      <c r="AJ63" s="148"/>
      <c r="AK63" s="148"/>
      <c r="AL63" s="148"/>
      <c r="AM63" s="148"/>
      <c r="AQ63" s="126"/>
      <c r="AR63" s="126"/>
      <c r="AS63" s="126"/>
      <c r="AT63" s="126"/>
      <c r="BA63" s="113"/>
      <c r="BS63" s="5"/>
      <c r="BT63" s="5"/>
      <c r="BU63" s="6"/>
    </row>
    <row r="64" spans="2:73" ht="15.75">
      <c r="B64" s="153">
        <v>43325</v>
      </c>
      <c r="C64" s="526" t="s">
        <v>233</v>
      </c>
      <c r="D64" s="527"/>
      <c r="E64" s="527"/>
      <c r="F64" s="527"/>
      <c r="G64" s="527"/>
      <c r="H64" s="527"/>
      <c r="I64" s="527"/>
      <c r="J64" s="527"/>
      <c r="K64" s="527"/>
      <c r="L64" s="527"/>
      <c r="M64" s="527"/>
      <c r="N64" s="527"/>
      <c r="O64" s="527"/>
      <c r="P64" s="527"/>
      <c r="Q64" s="527"/>
      <c r="R64" s="527"/>
      <c r="S64" s="527"/>
      <c r="T64" s="527"/>
      <c r="U64" s="527"/>
      <c r="V64" s="527"/>
      <c r="W64" s="527"/>
      <c r="X64" s="527"/>
      <c r="Y64" s="527"/>
      <c r="Z64" s="527"/>
      <c r="AA64" s="527"/>
      <c r="AB64" s="527"/>
      <c r="AC64" s="527"/>
      <c r="AD64" s="527"/>
      <c r="AE64" s="528"/>
      <c r="AF64" s="151"/>
      <c r="AG64" s="151"/>
      <c r="AH64" s="148"/>
      <c r="AI64" s="148"/>
      <c r="AJ64" s="148"/>
      <c r="AK64" s="148"/>
      <c r="AL64" s="148"/>
      <c r="AM64" s="148"/>
      <c r="AQ64" s="126"/>
      <c r="AR64" s="126"/>
      <c r="AS64" s="126"/>
      <c r="AT64" s="126"/>
      <c r="BA64" s="113"/>
      <c r="BS64" s="5"/>
      <c r="BT64" s="5"/>
      <c r="BU64" s="6"/>
    </row>
    <row r="65" spans="2:73" ht="15.75">
      <c r="B65" s="153">
        <v>43326</v>
      </c>
      <c r="C65" s="526" t="s">
        <v>233</v>
      </c>
      <c r="D65" s="527"/>
      <c r="E65" s="527"/>
      <c r="F65" s="527"/>
      <c r="G65" s="527"/>
      <c r="H65" s="527"/>
      <c r="I65" s="527"/>
      <c r="J65" s="527"/>
      <c r="K65" s="527"/>
      <c r="L65" s="527"/>
      <c r="M65" s="527"/>
      <c r="N65" s="527"/>
      <c r="O65" s="527"/>
      <c r="P65" s="527"/>
      <c r="Q65" s="527"/>
      <c r="R65" s="527"/>
      <c r="S65" s="527"/>
      <c r="T65" s="527"/>
      <c r="U65" s="527"/>
      <c r="V65" s="527"/>
      <c r="W65" s="527"/>
      <c r="X65" s="527"/>
      <c r="Y65" s="527"/>
      <c r="Z65" s="527"/>
      <c r="AA65" s="527"/>
      <c r="AB65" s="527"/>
      <c r="AC65" s="527"/>
      <c r="AD65" s="527"/>
      <c r="AE65" s="528"/>
      <c r="AF65" s="151"/>
      <c r="AG65" s="151"/>
      <c r="AH65" s="148"/>
      <c r="AI65" s="148"/>
      <c r="AJ65" s="148"/>
      <c r="AK65" s="148"/>
      <c r="AL65" s="148"/>
      <c r="AM65" s="148"/>
      <c r="AQ65" s="126"/>
      <c r="AR65" s="126"/>
      <c r="AS65" s="126"/>
      <c r="AT65" s="126"/>
      <c r="BA65" s="113"/>
      <c r="BS65" s="5"/>
      <c r="BT65" s="5"/>
      <c r="BU65" s="6"/>
    </row>
    <row r="66" spans="2:73" ht="15.75">
      <c r="B66" s="153">
        <v>43327</v>
      </c>
      <c r="C66" s="526" t="s">
        <v>230</v>
      </c>
      <c r="D66" s="527"/>
      <c r="E66" s="527"/>
      <c r="F66" s="527"/>
      <c r="G66" s="527"/>
      <c r="H66" s="527"/>
      <c r="I66" s="527"/>
      <c r="J66" s="527"/>
      <c r="K66" s="527"/>
      <c r="L66" s="527"/>
      <c r="M66" s="527"/>
      <c r="N66" s="527"/>
      <c r="O66" s="527"/>
      <c r="P66" s="527"/>
      <c r="Q66" s="527"/>
      <c r="R66" s="527"/>
      <c r="S66" s="527"/>
      <c r="T66" s="527"/>
      <c r="U66" s="527"/>
      <c r="V66" s="527"/>
      <c r="W66" s="527"/>
      <c r="X66" s="527"/>
      <c r="Y66" s="527"/>
      <c r="Z66" s="527"/>
      <c r="AA66" s="527"/>
      <c r="AB66" s="527"/>
      <c r="AC66" s="527"/>
      <c r="AD66" s="527"/>
      <c r="AE66" s="528"/>
      <c r="AF66" s="151"/>
      <c r="AG66" s="151"/>
      <c r="AH66" s="148"/>
      <c r="AI66" s="148"/>
      <c r="AJ66" s="148"/>
      <c r="AK66" s="148"/>
      <c r="AL66" s="148"/>
      <c r="AM66" s="148"/>
      <c r="AQ66" s="126"/>
      <c r="AR66" s="126"/>
      <c r="AS66" s="126"/>
      <c r="AT66" s="126"/>
      <c r="BA66" s="113"/>
      <c r="BS66" s="5"/>
      <c r="BT66" s="5"/>
      <c r="BU66" s="6"/>
    </row>
    <row r="67" spans="2:73" ht="15.75">
      <c r="B67" s="153">
        <v>43328</v>
      </c>
      <c r="C67" s="526" t="s">
        <v>265</v>
      </c>
      <c r="D67" s="527"/>
      <c r="E67" s="527"/>
      <c r="F67" s="527"/>
      <c r="G67" s="527"/>
      <c r="H67" s="527"/>
      <c r="I67" s="527"/>
      <c r="J67" s="527"/>
      <c r="K67" s="527"/>
      <c r="L67" s="527"/>
      <c r="M67" s="527"/>
      <c r="N67" s="527"/>
      <c r="O67" s="527"/>
      <c r="P67" s="527"/>
      <c r="Q67" s="527"/>
      <c r="R67" s="527"/>
      <c r="S67" s="527"/>
      <c r="T67" s="527"/>
      <c r="U67" s="527"/>
      <c r="V67" s="527"/>
      <c r="W67" s="527"/>
      <c r="X67" s="527"/>
      <c r="Y67" s="527"/>
      <c r="Z67" s="527"/>
      <c r="AA67" s="527"/>
      <c r="AB67" s="527"/>
      <c r="AC67" s="527"/>
      <c r="AD67" s="527"/>
      <c r="AE67" s="528"/>
      <c r="AF67" s="151"/>
      <c r="AG67" s="151"/>
      <c r="AH67" s="148"/>
      <c r="AI67" s="148"/>
      <c r="AJ67" s="148"/>
      <c r="AK67" s="148"/>
      <c r="AL67" s="148"/>
      <c r="AM67" s="148"/>
      <c r="AQ67" s="126"/>
      <c r="AR67" s="126"/>
      <c r="AS67" s="126"/>
      <c r="AT67" s="126"/>
      <c r="BA67" s="113"/>
      <c r="BS67" s="5"/>
      <c r="BT67" s="5"/>
      <c r="BU67" s="6"/>
    </row>
    <row r="68" spans="2:73" ht="15.75">
      <c r="B68" s="153">
        <v>43329</v>
      </c>
      <c r="C68" s="526" t="s">
        <v>266</v>
      </c>
      <c r="D68" s="527"/>
      <c r="E68" s="527"/>
      <c r="F68" s="527"/>
      <c r="G68" s="527"/>
      <c r="H68" s="527"/>
      <c r="I68" s="527"/>
      <c r="J68" s="527"/>
      <c r="K68" s="527"/>
      <c r="L68" s="527"/>
      <c r="M68" s="527"/>
      <c r="N68" s="527"/>
      <c r="O68" s="527"/>
      <c r="P68" s="527"/>
      <c r="Q68" s="527"/>
      <c r="R68" s="527"/>
      <c r="S68" s="527"/>
      <c r="T68" s="527"/>
      <c r="U68" s="527"/>
      <c r="V68" s="527"/>
      <c r="W68" s="527"/>
      <c r="X68" s="527"/>
      <c r="Y68" s="527"/>
      <c r="Z68" s="527"/>
      <c r="AA68" s="527"/>
      <c r="AB68" s="527"/>
      <c r="AC68" s="527"/>
      <c r="AD68" s="527"/>
      <c r="AE68" s="528"/>
      <c r="AF68" s="151"/>
      <c r="AG68" s="151"/>
      <c r="AH68" s="148"/>
      <c r="AI68" s="148"/>
      <c r="AJ68" s="148"/>
      <c r="AK68" s="148"/>
      <c r="AL68" s="148"/>
      <c r="AM68" s="148"/>
      <c r="AQ68" s="126"/>
      <c r="AR68" s="126"/>
      <c r="AS68" s="126"/>
      <c r="AT68" s="126"/>
      <c r="BA68" s="113"/>
      <c r="BS68" s="5"/>
      <c r="BT68" s="5"/>
      <c r="BU68" s="6"/>
    </row>
    <row r="69" spans="2:73" ht="15.75">
      <c r="B69" s="153">
        <v>43330</v>
      </c>
      <c r="C69" s="526" t="s">
        <v>256</v>
      </c>
      <c r="D69" s="527"/>
      <c r="E69" s="527"/>
      <c r="F69" s="527"/>
      <c r="G69" s="527"/>
      <c r="H69" s="527"/>
      <c r="I69" s="527"/>
      <c r="J69" s="527"/>
      <c r="K69" s="527"/>
      <c r="L69" s="527"/>
      <c r="M69" s="527"/>
      <c r="N69" s="527"/>
      <c r="O69" s="527"/>
      <c r="P69" s="527"/>
      <c r="Q69" s="527"/>
      <c r="R69" s="527"/>
      <c r="S69" s="527"/>
      <c r="T69" s="527"/>
      <c r="U69" s="527"/>
      <c r="V69" s="527"/>
      <c r="W69" s="527"/>
      <c r="X69" s="527"/>
      <c r="Y69" s="527"/>
      <c r="Z69" s="527"/>
      <c r="AA69" s="527"/>
      <c r="AB69" s="527"/>
      <c r="AC69" s="527"/>
      <c r="AD69" s="527"/>
      <c r="AE69" s="528"/>
      <c r="AF69" s="151"/>
      <c r="AG69" s="151"/>
      <c r="AH69" s="148"/>
      <c r="AI69" s="148"/>
      <c r="AJ69" s="148"/>
      <c r="AK69" s="148"/>
      <c r="AL69" s="148"/>
      <c r="AM69" s="148"/>
      <c r="AQ69" s="126"/>
      <c r="AR69" s="126"/>
      <c r="AS69" s="126"/>
      <c r="AT69" s="126"/>
      <c r="BA69" s="113"/>
      <c r="BS69" s="5"/>
      <c r="BT69" s="5"/>
      <c r="BU69" s="6"/>
    </row>
    <row r="70" spans="2:73" ht="15.75">
      <c r="B70" s="153">
        <v>43331</v>
      </c>
      <c r="C70" s="526" t="s">
        <v>230</v>
      </c>
      <c r="D70" s="527"/>
      <c r="E70" s="527"/>
      <c r="F70" s="527"/>
      <c r="G70" s="527"/>
      <c r="H70" s="527"/>
      <c r="I70" s="527"/>
      <c r="J70" s="527"/>
      <c r="K70" s="527"/>
      <c r="L70" s="527"/>
      <c r="M70" s="527"/>
      <c r="N70" s="527"/>
      <c r="O70" s="527"/>
      <c r="P70" s="527"/>
      <c r="Q70" s="527"/>
      <c r="R70" s="527"/>
      <c r="S70" s="527"/>
      <c r="T70" s="527"/>
      <c r="U70" s="527"/>
      <c r="V70" s="527"/>
      <c r="W70" s="527"/>
      <c r="X70" s="527"/>
      <c r="Y70" s="527"/>
      <c r="Z70" s="527"/>
      <c r="AA70" s="527"/>
      <c r="AB70" s="527"/>
      <c r="AC70" s="527"/>
      <c r="AD70" s="527"/>
      <c r="AE70" s="528"/>
      <c r="AF70" s="151"/>
      <c r="AG70" s="151"/>
      <c r="AH70" s="148"/>
      <c r="AI70" s="148"/>
      <c r="AJ70" s="148"/>
      <c r="AK70" s="148"/>
      <c r="AL70" s="148"/>
      <c r="AM70" s="148"/>
      <c r="AQ70" s="126"/>
      <c r="AR70" s="126"/>
      <c r="AS70" s="126"/>
      <c r="AT70" s="126"/>
      <c r="BA70" s="113"/>
      <c r="BS70" s="5"/>
      <c r="BT70" s="5"/>
      <c r="BU70" s="6"/>
    </row>
    <row r="71" spans="2:73" ht="15.75">
      <c r="B71" s="153">
        <v>43332</v>
      </c>
      <c r="C71" s="526" t="s">
        <v>255</v>
      </c>
      <c r="D71" s="527"/>
      <c r="E71" s="527"/>
      <c r="F71" s="527"/>
      <c r="G71" s="527"/>
      <c r="H71" s="527"/>
      <c r="I71" s="527"/>
      <c r="J71" s="527"/>
      <c r="K71" s="527"/>
      <c r="L71" s="527"/>
      <c r="M71" s="527"/>
      <c r="N71" s="527"/>
      <c r="O71" s="527"/>
      <c r="P71" s="527"/>
      <c r="Q71" s="527"/>
      <c r="R71" s="527"/>
      <c r="S71" s="527"/>
      <c r="T71" s="527"/>
      <c r="U71" s="527"/>
      <c r="V71" s="527"/>
      <c r="W71" s="527"/>
      <c r="X71" s="527"/>
      <c r="Y71" s="527"/>
      <c r="Z71" s="527"/>
      <c r="AA71" s="527"/>
      <c r="AB71" s="527"/>
      <c r="AC71" s="527"/>
      <c r="AD71" s="527"/>
      <c r="AE71" s="528"/>
      <c r="AF71" s="151"/>
      <c r="AG71" s="151"/>
      <c r="AH71" s="148"/>
      <c r="AI71" s="148"/>
      <c r="AJ71" s="148"/>
      <c r="AK71" s="148"/>
      <c r="AL71" s="148"/>
      <c r="AM71" s="148"/>
      <c r="AQ71" s="126"/>
      <c r="AR71" s="126"/>
      <c r="AS71" s="126"/>
      <c r="AT71" s="126"/>
      <c r="BA71" s="113"/>
      <c r="BS71" s="5"/>
      <c r="BT71" s="5"/>
      <c r="BU71" s="6"/>
    </row>
    <row r="72" spans="2:73" ht="15.75">
      <c r="B72" s="153">
        <v>43333</v>
      </c>
      <c r="C72" s="526" t="s">
        <v>267</v>
      </c>
      <c r="D72" s="527"/>
      <c r="E72" s="527"/>
      <c r="F72" s="527"/>
      <c r="G72" s="527"/>
      <c r="H72" s="527"/>
      <c r="I72" s="527"/>
      <c r="J72" s="527"/>
      <c r="K72" s="527"/>
      <c r="L72" s="527"/>
      <c r="M72" s="527"/>
      <c r="N72" s="527"/>
      <c r="O72" s="527"/>
      <c r="P72" s="527"/>
      <c r="Q72" s="527"/>
      <c r="R72" s="527"/>
      <c r="S72" s="527"/>
      <c r="T72" s="527"/>
      <c r="U72" s="527"/>
      <c r="V72" s="527"/>
      <c r="W72" s="527"/>
      <c r="X72" s="527"/>
      <c r="Y72" s="527"/>
      <c r="Z72" s="527"/>
      <c r="AA72" s="527"/>
      <c r="AB72" s="527"/>
      <c r="AC72" s="527"/>
      <c r="AD72" s="527"/>
      <c r="AE72" s="528"/>
      <c r="AF72" s="151"/>
      <c r="AG72" s="151"/>
      <c r="AH72" s="148"/>
      <c r="AI72" s="148"/>
      <c r="AJ72" s="148"/>
      <c r="AK72" s="148"/>
      <c r="AL72" s="148"/>
      <c r="AM72" s="148"/>
      <c r="AQ72" s="126"/>
      <c r="AR72" s="126"/>
      <c r="AS72" s="126"/>
      <c r="AT72" s="126"/>
      <c r="BA72" s="113"/>
      <c r="BS72" s="5"/>
      <c r="BT72" s="5"/>
      <c r="BU72" s="6"/>
    </row>
    <row r="73" spans="2:73" ht="15.75">
      <c r="B73" s="153">
        <v>43334</v>
      </c>
      <c r="C73" s="526" t="s">
        <v>255</v>
      </c>
      <c r="D73" s="527"/>
      <c r="E73" s="527"/>
      <c r="F73" s="527"/>
      <c r="G73" s="527"/>
      <c r="H73" s="527"/>
      <c r="I73" s="527"/>
      <c r="J73" s="527"/>
      <c r="K73" s="527"/>
      <c r="L73" s="527"/>
      <c r="M73" s="527"/>
      <c r="N73" s="527"/>
      <c r="O73" s="527"/>
      <c r="P73" s="527"/>
      <c r="Q73" s="527"/>
      <c r="R73" s="527"/>
      <c r="S73" s="527"/>
      <c r="T73" s="527"/>
      <c r="U73" s="527"/>
      <c r="V73" s="527"/>
      <c r="W73" s="527"/>
      <c r="X73" s="527"/>
      <c r="Y73" s="527"/>
      <c r="Z73" s="527"/>
      <c r="AA73" s="527"/>
      <c r="AB73" s="527"/>
      <c r="AC73" s="527"/>
      <c r="AD73" s="527"/>
      <c r="AE73" s="528"/>
      <c r="AF73" s="151"/>
      <c r="AG73" s="151"/>
      <c r="AH73" s="148"/>
      <c r="AI73" s="148"/>
      <c r="AJ73" s="148"/>
      <c r="AK73" s="148"/>
      <c r="AL73" s="148"/>
      <c r="AM73" s="148"/>
      <c r="AQ73" s="126"/>
      <c r="AR73" s="126"/>
      <c r="AS73" s="126"/>
      <c r="AT73" s="126"/>
      <c r="BA73" s="113"/>
      <c r="BS73" s="5"/>
      <c r="BT73" s="5"/>
      <c r="BU73" s="6"/>
    </row>
    <row r="74" spans="2:73" ht="15.75">
      <c r="B74" s="153">
        <v>43335</v>
      </c>
      <c r="C74" s="526" t="s">
        <v>255</v>
      </c>
      <c r="D74" s="527"/>
      <c r="E74" s="527"/>
      <c r="F74" s="527"/>
      <c r="G74" s="527"/>
      <c r="H74" s="527"/>
      <c r="I74" s="527"/>
      <c r="J74" s="527"/>
      <c r="K74" s="527"/>
      <c r="L74" s="527"/>
      <c r="M74" s="527"/>
      <c r="N74" s="527"/>
      <c r="O74" s="527"/>
      <c r="P74" s="527"/>
      <c r="Q74" s="527"/>
      <c r="R74" s="527"/>
      <c r="S74" s="527"/>
      <c r="T74" s="527"/>
      <c r="U74" s="527"/>
      <c r="V74" s="527"/>
      <c r="W74" s="527"/>
      <c r="X74" s="527"/>
      <c r="Y74" s="527"/>
      <c r="Z74" s="527"/>
      <c r="AA74" s="527"/>
      <c r="AB74" s="527"/>
      <c r="AC74" s="527"/>
      <c r="AD74" s="527"/>
      <c r="AE74" s="528"/>
      <c r="AF74" s="151"/>
      <c r="AG74" s="151"/>
      <c r="AH74" s="148"/>
      <c r="AI74" s="148"/>
      <c r="AJ74" s="148"/>
      <c r="AK74" s="148"/>
      <c r="AL74" s="148"/>
      <c r="AM74" s="148"/>
      <c r="AQ74" s="126"/>
      <c r="AR74" s="126"/>
      <c r="AS74" s="126"/>
      <c r="AT74" s="126"/>
      <c r="BA74" s="113"/>
      <c r="BS74" s="5"/>
      <c r="BT74" s="5"/>
      <c r="BU74" s="6"/>
    </row>
    <row r="75" spans="2:73" ht="15.75">
      <c r="B75" s="153">
        <v>43336</v>
      </c>
      <c r="C75" s="526" t="s">
        <v>264</v>
      </c>
      <c r="D75" s="527"/>
      <c r="E75" s="527"/>
      <c r="F75" s="527"/>
      <c r="G75" s="527"/>
      <c r="H75" s="527"/>
      <c r="I75" s="527"/>
      <c r="J75" s="527"/>
      <c r="K75" s="527"/>
      <c r="L75" s="527"/>
      <c r="M75" s="527"/>
      <c r="N75" s="527"/>
      <c r="O75" s="527"/>
      <c r="P75" s="527"/>
      <c r="Q75" s="527"/>
      <c r="R75" s="527"/>
      <c r="S75" s="527"/>
      <c r="T75" s="527"/>
      <c r="U75" s="527"/>
      <c r="V75" s="527"/>
      <c r="W75" s="527"/>
      <c r="X75" s="527"/>
      <c r="Y75" s="527"/>
      <c r="Z75" s="527"/>
      <c r="AA75" s="527"/>
      <c r="AB75" s="527"/>
      <c r="AC75" s="527"/>
      <c r="AD75" s="527"/>
      <c r="AE75" s="528"/>
      <c r="AF75" s="151"/>
      <c r="AG75" s="151"/>
      <c r="AH75" s="148"/>
      <c r="AI75" s="148"/>
      <c r="AJ75" s="148"/>
      <c r="AK75" s="148"/>
      <c r="AL75" s="148"/>
      <c r="AM75" s="148"/>
      <c r="AQ75" s="126"/>
      <c r="AR75" s="126"/>
      <c r="AS75" s="126"/>
      <c r="AT75" s="126"/>
      <c r="BA75" s="113"/>
      <c r="BS75" s="5"/>
      <c r="BT75" s="5"/>
      <c r="BU75" s="6"/>
    </row>
    <row r="76" spans="2:73" ht="15.75">
      <c r="B76" s="153">
        <v>43337</v>
      </c>
      <c r="C76" s="526" t="s">
        <v>268</v>
      </c>
      <c r="D76" s="527"/>
      <c r="E76" s="527"/>
      <c r="F76" s="527"/>
      <c r="G76" s="527"/>
      <c r="H76" s="527"/>
      <c r="I76" s="527"/>
      <c r="J76" s="527"/>
      <c r="K76" s="527"/>
      <c r="L76" s="527"/>
      <c r="M76" s="527"/>
      <c r="N76" s="527"/>
      <c r="O76" s="527"/>
      <c r="P76" s="527"/>
      <c r="Q76" s="527"/>
      <c r="R76" s="527"/>
      <c r="S76" s="527"/>
      <c r="T76" s="527"/>
      <c r="U76" s="527"/>
      <c r="V76" s="527"/>
      <c r="W76" s="527"/>
      <c r="X76" s="527"/>
      <c r="Y76" s="527"/>
      <c r="Z76" s="527"/>
      <c r="AA76" s="527"/>
      <c r="AB76" s="527"/>
      <c r="AC76" s="527"/>
      <c r="AD76" s="527"/>
      <c r="AE76" s="528"/>
      <c r="AF76" s="151"/>
      <c r="AG76" s="151"/>
      <c r="AH76" s="148"/>
      <c r="AI76" s="148"/>
      <c r="AJ76" s="148"/>
      <c r="AK76" s="148"/>
      <c r="AL76" s="148"/>
      <c r="AM76" s="148"/>
      <c r="AQ76" s="126"/>
      <c r="AR76" s="126"/>
      <c r="AS76" s="126"/>
      <c r="AT76" s="126"/>
      <c r="BA76" s="113"/>
      <c r="BS76" s="5"/>
      <c r="BT76" s="5"/>
      <c r="BU76" s="6"/>
    </row>
    <row r="77" spans="2:73" ht="15.75">
      <c r="B77" s="153">
        <v>43338</v>
      </c>
      <c r="C77" s="526" t="s">
        <v>269</v>
      </c>
      <c r="D77" s="527"/>
      <c r="E77" s="527"/>
      <c r="F77" s="527"/>
      <c r="G77" s="527"/>
      <c r="H77" s="527"/>
      <c r="I77" s="527"/>
      <c r="J77" s="527"/>
      <c r="K77" s="527"/>
      <c r="L77" s="527"/>
      <c r="M77" s="527"/>
      <c r="N77" s="527"/>
      <c r="O77" s="527"/>
      <c r="P77" s="527"/>
      <c r="Q77" s="527"/>
      <c r="R77" s="527"/>
      <c r="S77" s="527"/>
      <c r="T77" s="527"/>
      <c r="U77" s="527"/>
      <c r="V77" s="527"/>
      <c r="W77" s="527"/>
      <c r="X77" s="527"/>
      <c r="Y77" s="527"/>
      <c r="Z77" s="527"/>
      <c r="AA77" s="527"/>
      <c r="AB77" s="527"/>
      <c r="AC77" s="527"/>
      <c r="AD77" s="527"/>
      <c r="AE77" s="528"/>
      <c r="AF77" s="151"/>
      <c r="AG77" s="151"/>
      <c r="AH77" s="148"/>
      <c r="AI77" s="148"/>
      <c r="AJ77" s="148"/>
      <c r="AK77" s="148"/>
      <c r="AL77" s="148"/>
      <c r="AM77" s="148"/>
      <c r="AQ77" s="126"/>
      <c r="AR77" s="126"/>
      <c r="AS77" s="126"/>
      <c r="AT77" s="126"/>
      <c r="BA77" s="113"/>
      <c r="BS77" s="5"/>
      <c r="BT77" s="5"/>
      <c r="BU77" s="6"/>
    </row>
    <row r="78" spans="2:73" ht="15.75">
      <c r="B78" s="153">
        <v>43339</v>
      </c>
      <c r="C78" s="526" t="s">
        <v>269</v>
      </c>
      <c r="D78" s="527"/>
      <c r="E78" s="527"/>
      <c r="F78" s="527"/>
      <c r="G78" s="527"/>
      <c r="H78" s="527"/>
      <c r="I78" s="527"/>
      <c r="J78" s="527"/>
      <c r="K78" s="527"/>
      <c r="L78" s="527"/>
      <c r="M78" s="527"/>
      <c r="N78" s="527"/>
      <c r="O78" s="527"/>
      <c r="P78" s="527"/>
      <c r="Q78" s="527"/>
      <c r="R78" s="527"/>
      <c r="S78" s="527"/>
      <c r="T78" s="527"/>
      <c r="U78" s="527"/>
      <c r="V78" s="527"/>
      <c r="W78" s="527"/>
      <c r="X78" s="527"/>
      <c r="Y78" s="527"/>
      <c r="Z78" s="527"/>
      <c r="AA78" s="527"/>
      <c r="AB78" s="527"/>
      <c r="AC78" s="527"/>
      <c r="AD78" s="527"/>
      <c r="AE78" s="528"/>
      <c r="AF78" s="151"/>
      <c r="AG78" s="151"/>
      <c r="AH78" s="148"/>
      <c r="AI78" s="148"/>
      <c r="AJ78" s="148"/>
      <c r="AK78" s="148"/>
      <c r="AL78" s="148"/>
      <c r="AM78" s="148"/>
      <c r="AQ78" s="126"/>
      <c r="AR78" s="126"/>
      <c r="AS78" s="126"/>
      <c r="AT78" s="126"/>
      <c r="BA78" s="113"/>
      <c r="BS78" s="5"/>
      <c r="BT78" s="5"/>
      <c r="BU78" s="6"/>
    </row>
    <row r="79" spans="2:73" ht="15.75">
      <c r="B79" s="153">
        <v>43340</v>
      </c>
      <c r="C79" s="526" t="s">
        <v>270</v>
      </c>
      <c r="D79" s="527"/>
      <c r="E79" s="527"/>
      <c r="F79" s="527"/>
      <c r="G79" s="527"/>
      <c r="H79" s="527"/>
      <c r="I79" s="527"/>
      <c r="J79" s="527"/>
      <c r="K79" s="527"/>
      <c r="L79" s="527"/>
      <c r="M79" s="527"/>
      <c r="N79" s="527"/>
      <c r="O79" s="527"/>
      <c r="P79" s="527"/>
      <c r="Q79" s="527"/>
      <c r="R79" s="527"/>
      <c r="S79" s="527"/>
      <c r="T79" s="527"/>
      <c r="U79" s="527"/>
      <c r="V79" s="527"/>
      <c r="W79" s="527"/>
      <c r="X79" s="527"/>
      <c r="Y79" s="527"/>
      <c r="Z79" s="527"/>
      <c r="AA79" s="527"/>
      <c r="AB79" s="527"/>
      <c r="AC79" s="527"/>
      <c r="AD79" s="527"/>
      <c r="AE79" s="528"/>
      <c r="AF79" s="151"/>
      <c r="AG79" s="151"/>
      <c r="AH79" s="148"/>
      <c r="AI79" s="148"/>
      <c r="AJ79" s="148"/>
      <c r="AK79" s="148"/>
      <c r="AL79" s="148"/>
      <c r="AM79" s="148"/>
      <c r="AQ79" s="126"/>
      <c r="AR79" s="126"/>
      <c r="AS79" s="126"/>
      <c r="AT79" s="126"/>
      <c r="BA79" s="113"/>
      <c r="BS79" s="5"/>
      <c r="BT79" s="5"/>
      <c r="BU79" s="6"/>
    </row>
    <row r="80" spans="2:73" ht="15.75">
      <c r="B80" s="153">
        <v>43341</v>
      </c>
      <c r="C80" s="526" t="s">
        <v>271</v>
      </c>
      <c r="D80" s="527"/>
      <c r="E80" s="527"/>
      <c r="F80" s="527"/>
      <c r="G80" s="527"/>
      <c r="H80" s="527"/>
      <c r="I80" s="527"/>
      <c r="J80" s="527"/>
      <c r="K80" s="527"/>
      <c r="L80" s="527"/>
      <c r="M80" s="527"/>
      <c r="N80" s="527"/>
      <c r="O80" s="527"/>
      <c r="P80" s="527"/>
      <c r="Q80" s="527"/>
      <c r="R80" s="527"/>
      <c r="S80" s="527"/>
      <c r="T80" s="527"/>
      <c r="U80" s="527"/>
      <c r="V80" s="527"/>
      <c r="W80" s="527"/>
      <c r="X80" s="527"/>
      <c r="Y80" s="527"/>
      <c r="Z80" s="527"/>
      <c r="AA80" s="527"/>
      <c r="AB80" s="527"/>
      <c r="AC80" s="527"/>
      <c r="AD80" s="527"/>
      <c r="AE80" s="528"/>
    </row>
    <row r="81" spans="2:31" ht="15.75">
      <c r="B81" s="153">
        <v>43342</v>
      </c>
      <c r="C81" s="526" t="s">
        <v>272</v>
      </c>
      <c r="D81" s="527"/>
      <c r="E81" s="527"/>
      <c r="F81" s="527"/>
      <c r="G81" s="527"/>
      <c r="H81" s="527"/>
      <c r="I81" s="527"/>
      <c r="J81" s="527"/>
      <c r="K81" s="527"/>
      <c r="L81" s="527"/>
      <c r="M81" s="527"/>
      <c r="N81" s="527"/>
      <c r="O81" s="527"/>
      <c r="P81" s="527"/>
      <c r="Q81" s="527"/>
      <c r="R81" s="527"/>
      <c r="S81" s="527"/>
      <c r="T81" s="527"/>
      <c r="U81" s="527"/>
      <c r="V81" s="527"/>
      <c r="W81" s="527"/>
      <c r="X81" s="527"/>
      <c r="Y81" s="527"/>
      <c r="Z81" s="527"/>
      <c r="AA81" s="527"/>
      <c r="AB81" s="527"/>
      <c r="AC81" s="527"/>
      <c r="AD81" s="527"/>
      <c r="AE81" s="528"/>
    </row>
    <row r="82" spans="2:31" ht="15.75">
      <c r="B82" s="153">
        <v>43343</v>
      </c>
      <c r="C82" s="526" t="s">
        <v>273</v>
      </c>
      <c r="D82" s="527"/>
      <c r="E82" s="527"/>
      <c r="F82" s="527"/>
      <c r="G82" s="527"/>
      <c r="H82" s="527"/>
      <c r="I82" s="527"/>
      <c r="J82" s="527"/>
      <c r="K82" s="527"/>
      <c r="L82" s="527"/>
      <c r="M82" s="527"/>
      <c r="N82" s="527"/>
      <c r="O82" s="527"/>
      <c r="P82" s="527"/>
      <c r="Q82" s="527"/>
      <c r="R82" s="527"/>
      <c r="S82" s="527"/>
      <c r="T82" s="527"/>
      <c r="U82" s="527"/>
      <c r="V82" s="527"/>
      <c r="W82" s="527"/>
      <c r="X82" s="527"/>
      <c r="Y82" s="527"/>
      <c r="Z82" s="527"/>
      <c r="AA82" s="527"/>
      <c r="AB82" s="527"/>
      <c r="AC82" s="527"/>
      <c r="AD82" s="527"/>
      <c r="AE82" s="528"/>
    </row>
    <row r="95" spans="2:31">
      <c r="Q95">
        <f>53/60</f>
        <v>0.8833333333333333</v>
      </c>
    </row>
    <row r="96" spans="2:31">
      <c r="Q96">
        <f>6/60</f>
        <v>0.1</v>
      </c>
    </row>
    <row r="99" spans="19:19">
      <c r="S99">
        <f>6/60</f>
        <v>0.1</v>
      </c>
    </row>
  </sheetData>
  <mergeCells count="116">
    <mergeCell ref="C81:AE81"/>
    <mergeCell ref="C82:AE82"/>
    <mergeCell ref="C75:AE75"/>
    <mergeCell ref="C76:AE76"/>
    <mergeCell ref="C77:AE77"/>
    <mergeCell ref="C78:AE78"/>
    <mergeCell ref="C79:AE79"/>
    <mergeCell ref="C80:AE80"/>
    <mergeCell ref="C69:AE69"/>
    <mergeCell ref="C70:AE70"/>
    <mergeCell ref="C71:AE71"/>
    <mergeCell ref="C72:AE72"/>
    <mergeCell ref="C73:AE73"/>
    <mergeCell ref="C74:AE74"/>
    <mergeCell ref="C63:AE63"/>
    <mergeCell ref="C64:AE64"/>
    <mergeCell ref="C65:AE65"/>
    <mergeCell ref="C66:AE66"/>
    <mergeCell ref="C67:AE67"/>
    <mergeCell ref="C68:AE68"/>
    <mergeCell ref="C57:AE57"/>
    <mergeCell ref="C58:AE58"/>
    <mergeCell ref="C59:AE59"/>
    <mergeCell ref="C60:AE60"/>
    <mergeCell ref="C61:AE61"/>
    <mergeCell ref="C62:AE62"/>
    <mergeCell ref="C51:AE51"/>
    <mergeCell ref="C52:AE52"/>
    <mergeCell ref="C53:AE53"/>
    <mergeCell ref="C54:AE54"/>
    <mergeCell ref="C55:AE55"/>
    <mergeCell ref="C56:AE56"/>
    <mergeCell ref="F43:G43"/>
    <mergeCell ref="H43:I43"/>
    <mergeCell ref="J43:K43"/>
    <mergeCell ref="L43:M43"/>
    <mergeCell ref="N43:O43"/>
    <mergeCell ref="P43:Q43"/>
    <mergeCell ref="A5:A11"/>
    <mergeCell ref="A12:A18"/>
    <mergeCell ref="A19:A25"/>
    <mergeCell ref="A26:A32"/>
    <mergeCell ref="A33:A39"/>
    <mergeCell ref="CA2:CA4"/>
    <mergeCell ref="CC2:CD2"/>
    <mergeCell ref="CE2:CF2"/>
    <mergeCell ref="H3:I3"/>
    <mergeCell ref="J3:K3"/>
    <mergeCell ref="L3:M3"/>
    <mergeCell ref="N3:O3"/>
    <mergeCell ref="BH3:BH4"/>
    <mergeCell ref="BI3:BI4"/>
    <mergeCell ref="BK3:BK4"/>
    <mergeCell ref="BR2:BR4"/>
    <mergeCell ref="BS2:BS4"/>
    <mergeCell ref="BT2:BT4"/>
    <mergeCell ref="BW2:BW4"/>
    <mergeCell ref="BX2:BX4"/>
    <mergeCell ref="BZ2:BZ4"/>
    <mergeCell ref="BV3:BV4"/>
    <mergeCell ref="BE2:BE4"/>
    <mergeCell ref="BF2:BF4"/>
    <mergeCell ref="BG2:BG4"/>
    <mergeCell ref="BL2:BM2"/>
    <mergeCell ref="BP2:BP4"/>
    <mergeCell ref="BQ2:BQ4"/>
    <mergeCell ref="BL3:BL4"/>
    <mergeCell ref="BM3:BM4"/>
    <mergeCell ref="BN3:BN4"/>
    <mergeCell ref="BO3:BO4"/>
    <mergeCell ref="AX2:AX4"/>
    <mergeCell ref="AY2:AY4"/>
    <mergeCell ref="AZ2:AZ4"/>
    <mergeCell ref="BB2:BB4"/>
    <mergeCell ref="BC2:BC4"/>
    <mergeCell ref="BD2:BD4"/>
    <mergeCell ref="AQ2:AQ4"/>
    <mergeCell ref="AR2:AR4"/>
    <mergeCell ref="AT2:AT4"/>
    <mergeCell ref="AU2:AU4"/>
    <mergeCell ref="AV2:AV4"/>
    <mergeCell ref="AW2:AW4"/>
    <mergeCell ref="AK2:AK4"/>
    <mergeCell ref="AL2:AL4"/>
    <mergeCell ref="AM2:AM4"/>
    <mergeCell ref="AN2:AN4"/>
    <mergeCell ref="AO2:AO4"/>
    <mergeCell ref="AP2:AP4"/>
    <mergeCell ref="AH2:AH4"/>
    <mergeCell ref="AI2:AI4"/>
    <mergeCell ref="AJ2:AJ4"/>
    <mergeCell ref="Y2:Y4"/>
    <mergeCell ref="Z2:Z4"/>
    <mergeCell ref="AA2:AA4"/>
    <mergeCell ref="AB2:AB4"/>
    <mergeCell ref="AC2:AC4"/>
    <mergeCell ref="AD2:AD4"/>
    <mergeCell ref="S2:S4"/>
    <mergeCell ref="T2:T4"/>
    <mergeCell ref="U2:U4"/>
    <mergeCell ref="V2:V4"/>
    <mergeCell ref="W2:W4"/>
    <mergeCell ref="X2:X4"/>
    <mergeCell ref="B1:AG1"/>
    <mergeCell ref="B2:B4"/>
    <mergeCell ref="C2:C4"/>
    <mergeCell ref="D2:D4"/>
    <mergeCell ref="E2:E4"/>
    <mergeCell ref="F2:G3"/>
    <mergeCell ref="H2:K2"/>
    <mergeCell ref="L2:O2"/>
    <mergeCell ref="P2:Q3"/>
    <mergeCell ref="R2:R4"/>
    <mergeCell ref="AE2:AE4"/>
    <mergeCell ref="AF2:AF4"/>
    <mergeCell ref="AG2:AG4"/>
  </mergeCells>
  <pageMargins left="0.7" right="0.7" top="0.75" bottom="0.75" header="0.3" footer="0.3"/>
  <pageSetup paperSize="9" orientation="portrait" r:id="rId1"/>
  <ignoredErrors>
    <ignoredError sqref="AP5:AP30 AP31:AP39 AM5:AM39 AC5:AD30 AC31:AD39" unlockedFormula="1"/>
    <ignoredError sqref="AR27 I45:Q46 X46:AE47 X45:AA45 AC45:AE45" formula="1"/>
    <ignoredError sqref="C44:AL44 AN44:AO44 O40:T40 C40 J40:N40 AE40 E40:H40 V40:AC40" formulaRange="1"/>
    <ignoredError sqref="AF48:AO48 U48:W48 AF45:AJ47 AL45:AO47 BJ40:BT40" evalError="1"/>
    <ignoredError sqref="AP44:AQ44 I40 AK40:AR40" formula="1" formulaRange="1"/>
    <ignoredError sqref="AP45:AQ48 X48:AE48 AB45 AK45:AK47" evalError="1" formula="1"/>
  </ignoredErrors>
</worksheet>
</file>

<file path=xl/worksheets/sheet9.xml><?xml version="1.0" encoding="utf-8"?>
<worksheet xmlns="http://schemas.openxmlformats.org/spreadsheetml/2006/main" xmlns:r="http://schemas.openxmlformats.org/officeDocument/2006/relationships">
  <dimension ref="A1:CF98"/>
  <sheetViews>
    <sheetView tabSelected="1" workbookViewId="0">
      <pane xSplit="2" ySplit="4" topLeftCell="C53" activePane="bottomRight" state="frozen"/>
      <selection pane="topRight" activeCell="C1" sqref="C1"/>
      <selection pane="bottomLeft" activeCell="A5" sqref="A5"/>
      <selection pane="bottomRight" activeCell="C58" sqref="C58:AE58"/>
    </sheetView>
  </sheetViews>
  <sheetFormatPr defaultRowHeight="15"/>
  <cols>
    <col min="2" max="2" width="10.140625" customWidth="1"/>
    <col min="37" max="38" width="9.5703125" bestFit="1" customWidth="1"/>
    <col min="39" max="39" width="9.5703125" customWidth="1"/>
    <col min="42" max="42" width="10" customWidth="1"/>
    <col min="45" max="45" width="2.7109375" customWidth="1"/>
    <col min="53" max="53" width="2" customWidth="1"/>
    <col min="77" max="77" width="2.140625" customWidth="1"/>
    <col min="80" max="80" width="2.28515625" customWidth="1"/>
  </cols>
  <sheetData>
    <row r="1" spans="1:84" ht="18.75" thickBot="1">
      <c r="B1" s="490">
        <v>43344</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7"/>
      <c r="AI1" s="7"/>
      <c r="AJ1" s="7"/>
      <c r="AK1" s="8"/>
      <c r="AL1" s="8"/>
      <c r="AM1" s="8"/>
      <c r="AN1" s="8"/>
      <c r="AO1" s="8"/>
      <c r="AP1" s="8"/>
      <c r="AQ1" s="8"/>
      <c r="AR1" s="8"/>
      <c r="AS1" s="9"/>
      <c r="AT1" s="10"/>
      <c r="AU1" s="10"/>
      <c r="AV1" s="10"/>
      <c r="AW1" s="10"/>
      <c r="AX1" s="10"/>
      <c r="AY1" s="11"/>
      <c r="AZ1" s="11"/>
      <c r="BA1" s="4"/>
      <c r="BS1" s="5"/>
      <c r="BT1" s="5"/>
      <c r="BU1" s="6"/>
    </row>
    <row r="2" spans="1:84" ht="30.75" thickBot="1">
      <c r="A2" s="12"/>
      <c r="B2" s="491" t="s">
        <v>1</v>
      </c>
      <c r="C2" s="442" t="s">
        <v>2</v>
      </c>
      <c r="D2" s="494" t="s">
        <v>3</v>
      </c>
      <c r="E2" s="442" t="s">
        <v>130</v>
      </c>
      <c r="F2" s="497" t="s">
        <v>4</v>
      </c>
      <c r="G2" s="498"/>
      <c r="H2" s="477" t="s">
        <v>5</v>
      </c>
      <c r="I2" s="501"/>
      <c r="J2" s="501"/>
      <c r="K2" s="480"/>
      <c r="L2" s="477" t="s">
        <v>6</v>
      </c>
      <c r="M2" s="501"/>
      <c r="N2" s="501"/>
      <c r="O2" s="480"/>
      <c r="P2" s="502" t="s">
        <v>7</v>
      </c>
      <c r="Q2" s="503"/>
      <c r="R2" s="506" t="s">
        <v>8</v>
      </c>
      <c r="S2" s="422" t="s">
        <v>9</v>
      </c>
      <c r="T2" s="425" t="s">
        <v>10</v>
      </c>
      <c r="U2" s="433" t="s">
        <v>11</v>
      </c>
      <c r="V2" s="436" t="s">
        <v>12</v>
      </c>
      <c r="W2" s="439" t="s">
        <v>13</v>
      </c>
      <c r="X2" s="439" t="s">
        <v>14</v>
      </c>
      <c r="Y2" s="439" t="s">
        <v>15</v>
      </c>
      <c r="Z2" s="439" t="s">
        <v>16</v>
      </c>
      <c r="AA2" s="439" t="s">
        <v>17</v>
      </c>
      <c r="AB2" s="439" t="s">
        <v>18</v>
      </c>
      <c r="AC2" s="515" t="s">
        <v>19</v>
      </c>
      <c r="AD2" s="512" t="s">
        <v>20</v>
      </c>
      <c r="AE2" s="509" t="s">
        <v>21</v>
      </c>
      <c r="AF2" s="512" t="s">
        <v>22</v>
      </c>
      <c r="AG2" s="465" t="s">
        <v>23</v>
      </c>
      <c r="AH2" s="465" t="s">
        <v>24</v>
      </c>
      <c r="AI2" s="465" t="s">
        <v>25</v>
      </c>
      <c r="AJ2" s="468" t="s">
        <v>26</v>
      </c>
      <c r="AK2" s="518" t="s">
        <v>27</v>
      </c>
      <c r="AL2" s="419" t="s">
        <v>28</v>
      </c>
      <c r="AM2" s="468" t="s">
        <v>29</v>
      </c>
      <c r="AN2" s="419" t="s">
        <v>30</v>
      </c>
      <c r="AO2" s="419" t="s">
        <v>31</v>
      </c>
      <c r="AP2" s="468" t="s">
        <v>32</v>
      </c>
      <c r="AQ2" s="521" t="s">
        <v>33</v>
      </c>
      <c r="AR2" s="522" t="s">
        <v>34</v>
      </c>
      <c r="AS2" s="13"/>
      <c r="AT2" s="462" t="s">
        <v>35</v>
      </c>
      <c r="AU2" s="447" t="s">
        <v>36</v>
      </c>
      <c r="AV2" s="447" t="s">
        <v>37</v>
      </c>
      <c r="AW2" s="447" t="s">
        <v>38</v>
      </c>
      <c r="AX2" s="447" t="s">
        <v>39</v>
      </c>
      <c r="AY2" s="447" t="s">
        <v>40</v>
      </c>
      <c r="AZ2" s="447" t="s">
        <v>41</v>
      </c>
      <c r="BA2" s="4"/>
      <c r="BB2" s="447" t="s">
        <v>42</v>
      </c>
      <c r="BC2" s="447" t="s">
        <v>43</v>
      </c>
      <c r="BD2" s="447" t="s">
        <v>44</v>
      </c>
      <c r="BE2" s="447" t="s">
        <v>45</v>
      </c>
      <c r="BF2" s="447" t="s">
        <v>46</v>
      </c>
      <c r="BG2" s="447" t="s">
        <v>47</v>
      </c>
      <c r="BH2" s="14" t="s">
        <v>48</v>
      </c>
      <c r="BI2" s="14" t="s">
        <v>49</v>
      </c>
      <c r="BJ2" s="14" t="s">
        <v>50</v>
      </c>
      <c r="BK2" s="14" t="s">
        <v>51</v>
      </c>
      <c r="BL2" s="445" t="s">
        <v>52</v>
      </c>
      <c r="BM2" s="446"/>
      <c r="BN2" s="14" t="s">
        <v>53</v>
      </c>
      <c r="BO2" s="14" t="s">
        <v>54</v>
      </c>
      <c r="BP2" s="447" t="s">
        <v>55</v>
      </c>
      <c r="BQ2" s="484" t="s">
        <v>56</v>
      </c>
      <c r="BR2" s="484" t="s">
        <v>57</v>
      </c>
      <c r="BS2" s="481" t="s">
        <v>58</v>
      </c>
      <c r="BT2" s="481" t="s">
        <v>59</v>
      </c>
      <c r="BU2" s="6"/>
      <c r="BV2" s="14" t="s">
        <v>60</v>
      </c>
      <c r="BW2" s="447" t="s">
        <v>61</v>
      </c>
      <c r="BX2" s="447" t="s">
        <v>62</v>
      </c>
      <c r="BZ2" s="474" t="s">
        <v>63</v>
      </c>
      <c r="CA2" s="474" t="s">
        <v>64</v>
      </c>
      <c r="CC2" s="487" t="s">
        <v>124</v>
      </c>
      <c r="CD2" s="488"/>
      <c r="CE2" s="487" t="s">
        <v>128</v>
      </c>
      <c r="CF2" s="488"/>
    </row>
    <row r="3" spans="1:84" ht="26.25" thickBot="1">
      <c r="A3" s="16"/>
      <c r="B3" s="492"/>
      <c r="C3" s="443"/>
      <c r="D3" s="495"/>
      <c r="E3" s="443"/>
      <c r="F3" s="499"/>
      <c r="G3" s="500"/>
      <c r="H3" s="477" t="s">
        <v>65</v>
      </c>
      <c r="I3" s="478"/>
      <c r="J3" s="479" t="s">
        <v>66</v>
      </c>
      <c r="K3" s="480"/>
      <c r="L3" s="477" t="s">
        <v>65</v>
      </c>
      <c r="M3" s="478"/>
      <c r="N3" s="479" t="s">
        <v>66</v>
      </c>
      <c r="O3" s="480"/>
      <c r="P3" s="504"/>
      <c r="Q3" s="505"/>
      <c r="R3" s="507"/>
      <c r="S3" s="423"/>
      <c r="T3" s="426"/>
      <c r="U3" s="434"/>
      <c r="V3" s="437"/>
      <c r="W3" s="440"/>
      <c r="X3" s="440"/>
      <c r="Y3" s="440"/>
      <c r="Z3" s="440"/>
      <c r="AA3" s="440"/>
      <c r="AB3" s="440"/>
      <c r="AC3" s="516"/>
      <c r="AD3" s="513"/>
      <c r="AE3" s="510"/>
      <c r="AF3" s="513"/>
      <c r="AG3" s="466"/>
      <c r="AH3" s="466"/>
      <c r="AI3" s="466"/>
      <c r="AJ3" s="469"/>
      <c r="AK3" s="519"/>
      <c r="AL3" s="420"/>
      <c r="AM3" s="469"/>
      <c r="AN3" s="420"/>
      <c r="AO3" s="420"/>
      <c r="AP3" s="469"/>
      <c r="AQ3" s="521"/>
      <c r="AR3" s="523"/>
      <c r="AS3" s="13"/>
      <c r="AT3" s="463"/>
      <c r="AU3" s="440"/>
      <c r="AV3" s="440"/>
      <c r="AW3" s="440"/>
      <c r="AX3" s="440"/>
      <c r="AY3" s="440"/>
      <c r="AZ3" s="440"/>
      <c r="BA3" s="4"/>
      <c r="BB3" s="440"/>
      <c r="BC3" s="440"/>
      <c r="BD3" s="440"/>
      <c r="BE3" s="440"/>
      <c r="BF3" s="440"/>
      <c r="BG3" s="440"/>
      <c r="BH3" s="457" t="s">
        <v>67</v>
      </c>
      <c r="BI3" s="457" t="s">
        <v>67</v>
      </c>
      <c r="BJ3" s="17" t="s">
        <v>68</v>
      </c>
      <c r="BK3" s="449" t="s">
        <v>69</v>
      </c>
      <c r="BL3" s="449" t="s">
        <v>69</v>
      </c>
      <c r="BM3" s="449" t="s">
        <v>70</v>
      </c>
      <c r="BN3" s="457" t="s">
        <v>71</v>
      </c>
      <c r="BO3" s="457" t="s">
        <v>72</v>
      </c>
      <c r="BP3" s="440"/>
      <c r="BQ3" s="485"/>
      <c r="BR3" s="485"/>
      <c r="BS3" s="482"/>
      <c r="BT3" s="482"/>
      <c r="BU3" s="6"/>
      <c r="BV3" s="457" t="s">
        <v>67</v>
      </c>
      <c r="BW3" s="440"/>
      <c r="BX3" s="440"/>
      <c r="BZ3" s="475"/>
      <c r="CA3" s="475"/>
      <c r="CC3" s="211" t="s">
        <v>129</v>
      </c>
      <c r="CD3" s="210" t="s">
        <v>125</v>
      </c>
      <c r="CE3" s="211" t="s">
        <v>129</v>
      </c>
      <c r="CF3" s="210" t="s">
        <v>125</v>
      </c>
    </row>
    <row r="4" spans="1:84" ht="15.75" thickBot="1">
      <c r="A4" s="16"/>
      <c r="B4" s="493"/>
      <c r="C4" s="444"/>
      <c r="D4" s="496"/>
      <c r="E4" s="444"/>
      <c r="F4" s="18" t="s">
        <v>73</v>
      </c>
      <c r="G4" s="19" t="s">
        <v>74</v>
      </c>
      <c r="H4" s="362" t="s">
        <v>75</v>
      </c>
      <c r="I4" s="21" t="s">
        <v>76</v>
      </c>
      <c r="J4" s="21" t="s">
        <v>75</v>
      </c>
      <c r="K4" s="363" t="s">
        <v>76</v>
      </c>
      <c r="L4" s="23" t="s">
        <v>75</v>
      </c>
      <c r="M4" s="21" t="s">
        <v>76</v>
      </c>
      <c r="N4" s="21" t="s">
        <v>75</v>
      </c>
      <c r="O4" s="19" t="s">
        <v>76</v>
      </c>
      <c r="P4" s="21" t="s">
        <v>75</v>
      </c>
      <c r="Q4" s="19" t="s">
        <v>76</v>
      </c>
      <c r="R4" s="508"/>
      <c r="S4" s="424"/>
      <c r="T4" s="427"/>
      <c r="U4" s="435"/>
      <c r="V4" s="438"/>
      <c r="W4" s="441"/>
      <c r="X4" s="441"/>
      <c r="Y4" s="441"/>
      <c r="Z4" s="441"/>
      <c r="AA4" s="441"/>
      <c r="AB4" s="441"/>
      <c r="AC4" s="517"/>
      <c r="AD4" s="514"/>
      <c r="AE4" s="511"/>
      <c r="AF4" s="514"/>
      <c r="AG4" s="467"/>
      <c r="AH4" s="467"/>
      <c r="AI4" s="467"/>
      <c r="AJ4" s="470"/>
      <c r="AK4" s="520"/>
      <c r="AL4" s="421"/>
      <c r="AM4" s="470"/>
      <c r="AN4" s="421"/>
      <c r="AO4" s="421"/>
      <c r="AP4" s="470"/>
      <c r="AQ4" s="521"/>
      <c r="AR4" s="524"/>
      <c r="AS4" s="13"/>
      <c r="AT4" s="464"/>
      <c r="AU4" s="448"/>
      <c r="AV4" s="448"/>
      <c r="AW4" s="448"/>
      <c r="AX4" s="448"/>
      <c r="AY4" s="448"/>
      <c r="AZ4" s="448"/>
      <c r="BB4" s="448"/>
      <c r="BC4" s="448"/>
      <c r="BD4" s="448"/>
      <c r="BE4" s="448"/>
      <c r="BF4" s="448"/>
      <c r="BG4" s="448"/>
      <c r="BH4" s="458"/>
      <c r="BI4" s="458"/>
      <c r="BJ4" s="17" t="s">
        <v>77</v>
      </c>
      <c r="BK4" s="450"/>
      <c r="BL4" s="450"/>
      <c r="BM4" s="450"/>
      <c r="BN4" s="458"/>
      <c r="BO4" s="458"/>
      <c r="BP4" s="448"/>
      <c r="BQ4" s="486"/>
      <c r="BR4" s="486"/>
      <c r="BS4" s="483"/>
      <c r="BT4" s="483"/>
      <c r="BU4" s="6"/>
      <c r="BV4" s="458"/>
      <c r="BW4" s="448"/>
      <c r="BX4" s="448"/>
      <c r="BZ4" s="476"/>
      <c r="CA4" s="476"/>
      <c r="CC4" s="213" t="s">
        <v>126</v>
      </c>
      <c r="CD4" s="212" t="s">
        <v>127</v>
      </c>
      <c r="CE4" s="213" t="s">
        <v>126</v>
      </c>
      <c r="CF4" s="212" t="s">
        <v>127</v>
      </c>
    </row>
    <row r="5" spans="1:84">
      <c r="A5" s="525" t="s">
        <v>263</v>
      </c>
      <c r="B5" s="24">
        <v>43339</v>
      </c>
      <c r="C5" s="280">
        <v>93.2</v>
      </c>
      <c r="D5" s="281">
        <v>0.627</v>
      </c>
      <c r="E5" s="282">
        <v>78.099999999999994</v>
      </c>
      <c r="F5" s="223">
        <v>103</v>
      </c>
      <c r="G5" s="223">
        <v>85</v>
      </c>
      <c r="H5" s="283">
        <v>24</v>
      </c>
      <c r="I5" s="283">
        <v>0</v>
      </c>
      <c r="J5" s="283">
        <v>24</v>
      </c>
      <c r="K5" s="283">
        <v>0</v>
      </c>
      <c r="L5" s="284">
        <v>0</v>
      </c>
      <c r="M5" s="284">
        <v>0</v>
      </c>
      <c r="N5" s="284">
        <v>0</v>
      </c>
      <c r="O5" s="284">
        <v>0</v>
      </c>
      <c r="P5" s="284">
        <v>0</v>
      </c>
      <c r="Q5" s="286">
        <v>0</v>
      </c>
      <c r="R5" s="285">
        <v>3466</v>
      </c>
      <c r="S5" s="286">
        <v>2937</v>
      </c>
      <c r="T5" s="286">
        <v>2937</v>
      </c>
      <c r="U5" s="286">
        <v>2865</v>
      </c>
      <c r="V5" s="287">
        <v>2963</v>
      </c>
      <c r="W5" s="283">
        <v>40</v>
      </c>
      <c r="X5" s="283">
        <v>0</v>
      </c>
      <c r="Y5" s="283">
        <v>43</v>
      </c>
      <c r="Z5" s="288">
        <v>0</v>
      </c>
      <c r="AA5" s="288">
        <v>57</v>
      </c>
      <c r="AB5" s="284">
        <v>0</v>
      </c>
      <c r="AC5" s="284">
        <f t="shared" ref="AC5:AC38" si="0">V5-U5+AZ5</f>
        <v>98</v>
      </c>
      <c r="AD5" s="222">
        <f t="shared" ref="AD5:AD39" si="1">U5-T5</f>
        <v>-72</v>
      </c>
      <c r="AE5" s="223">
        <v>126</v>
      </c>
      <c r="AF5" s="224">
        <f t="shared" ref="AF5:AF11" si="2">IF(AE5&gt;0, V5/(AE5*24),"no data")</f>
        <v>0.97982804232804233</v>
      </c>
      <c r="AG5" s="225">
        <f t="shared" ref="AG5:AG39" si="3">IF(R5&gt;0,R5/24,"no data")</f>
        <v>144.41666666666666</v>
      </c>
      <c r="AH5" s="224">
        <f t="shared" ref="AH5:AH11" si="4">IF(U5&gt;0,(U5/R5),"no data")</f>
        <v>0.82660126947489898</v>
      </c>
      <c r="AI5" s="226">
        <f t="shared" ref="AI5:AI15" si="5">IF(U5&gt;0,(1440-((W5*X5)+(Y5*Z5)+(AA5*AB5))/(W5+Y5+AA5))/1440,"no data")</f>
        <v>1</v>
      </c>
      <c r="AJ5" s="227">
        <f t="shared" ref="AJ5:AJ39" si="6">IF(U5&gt;0,(1440-((X5*W5+AT5*AU5)+(Z5*Y5+AV5*AW5)+(AA5*AB5+AX5*AY5))/(W5+Y5+AA5))/1440,"no data")</f>
        <v>0.88571428571428568</v>
      </c>
      <c r="AK5" s="255">
        <v>9.2550000000000008</v>
      </c>
      <c r="AL5" s="256">
        <v>203.33</v>
      </c>
      <c r="AM5" s="282">
        <f t="shared" ref="AM5:AM39" si="7">AK5*AL5</f>
        <v>1881.8191500000003</v>
      </c>
      <c r="AN5" s="255">
        <v>23.639631000000001</v>
      </c>
      <c r="AO5" s="323">
        <v>978.581729977088</v>
      </c>
      <c r="AP5" s="290">
        <f t="shared" ref="AP5:AP39" si="8">AN5*AO5</f>
        <v>23133.311000000002</v>
      </c>
      <c r="AQ5" s="228">
        <f t="shared" ref="AQ5:AQ39" si="9">IF(U5&gt;0,((((AK5*AL5)+(AN5*AO5))/(U5*1000))*1000000),"no data")</f>
        <v>8731.2845200698084</v>
      </c>
      <c r="AR5" s="229">
        <f t="shared" ref="AR5:AR39" si="10">IF(S5&gt;0,S5/24, "no data")</f>
        <v>122.375</v>
      </c>
      <c r="AS5" s="13"/>
      <c r="AT5" s="223">
        <v>0</v>
      </c>
      <c r="AU5" s="292">
        <v>0</v>
      </c>
      <c r="AV5" s="292">
        <v>0</v>
      </c>
      <c r="AW5" s="223">
        <v>0</v>
      </c>
      <c r="AX5" s="292">
        <v>16</v>
      </c>
      <c r="AY5" s="223">
        <v>1440</v>
      </c>
      <c r="AZ5" s="223">
        <v>0</v>
      </c>
      <c r="BB5" s="242">
        <v>956</v>
      </c>
      <c r="BC5" s="242">
        <v>1031</v>
      </c>
      <c r="BD5" s="242">
        <v>976</v>
      </c>
      <c r="BE5" s="242">
        <f t="shared" ref="BE5:BE11" si="11">BC5-BB5</f>
        <v>75</v>
      </c>
      <c r="BF5" s="242">
        <f t="shared" ref="BF5:BF41" si="12">AQ5</f>
        <v>8731.2845200698084</v>
      </c>
      <c r="BG5" s="294">
        <f t="shared" ref="BG5:BG39" si="13">BD5/24</f>
        <v>40.666666666666664</v>
      </c>
      <c r="BH5" s="295">
        <v>0</v>
      </c>
      <c r="BI5" s="296">
        <v>0</v>
      </c>
      <c r="BJ5" s="297">
        <v>22</v>
      </c>
      <c r="BK5" s="298">
        <v>25.1</v>
      </c>
      <c r="BL5" s="298">
        <v>21.8</v>
      </c>
      <c r="BM5" s="298">
        <v>28.5</v>
      </c>
      <c r="BN5" s="299">
        <v>986.9</v>
      </c>
      <c r="BO5" s="298">
        <v>50.06</v>
      </c>
      <c r="BP5" s="300">
        <v>0.93100000000000005</v>
      </c>
      <c r="BQ5" s="298">
        <v>94.07</v>
      </c>
      <c r="BR5" s="297">
        <v>87.24</v>
      </c>
      <c r="BS5" s="242">
        <v>12314</v>
      </c>
      <c r="BT5" s="242">
        <v>12078</v>
      </c>
      <c r="BU5" s="301">
        <f t="shared" ref="BU5:BU39" si="14">BT5-BS5</f>
        <v>-236</v>
      </c>
      <c r="BV5" s="242">
        <f>BH5+BI5</f>
        <v>0</v>
      </c>
      <c r="BW5" s="302">
        <v>0</v>
      </c>
      <c r="BX5" s="302">
        <v>0</v>
      </c>
      <c r="BZ5" s="302">
        <v>24</v>
      </c>
      <c r="CA5" s="302">
        <v>6.3</v>
      </c>
      <c r="CC5" s="302">
        <v>2.1</v>
      </c>
      <c r="CD5" s="302">
        <v>4.2</v>
      </c>
      <c r="CE5" s="302">
        <v>2.1</v>
      </c>
      <c r="CF5" s="302">
        <v>0</v>
      </c>
    </row>
    <row r="6" spans="1:84">
      <c r="A6" s="525"/>
      <c r="B6" s="24">
        <v>43340</v>
      </c>
      <c r="C6" s="280">
        <v>94</v>
      </c>
      <c r="D6" s="281">
        <v>0.60599999999999998</v>
      </c>
      <c r="E6" s="282">
        <v>78.099999999999994</v>
      </c>
      <c r="F6" s="223">
        <v>103</v>
      </c>
      <c r="G6" s="223">
        <v>84</v>
      </c>
      <c r="H6" s="283">
        <v>24</v>
      </c>
      <c r="I6" s="283">
        <v>0</v>
      </c>
      <c r="J6" s="283">
        <v>24</v>
      </c>
      <c r="K6" s="283">
        <v>0</v>
      </c>
      <c r="L6" s="284">
        <v>0</v>
      </c>
      <c r="M6" s="284">
        <v>0</v>
      </c>
      <c r="N6" s="284">
        <v>0</v>
      </c>
      <c r="O6" s="284">
        <v>0</v>
      </c>
      <c r="P6" s="284">
        <v>0</v>
      </c>
      <c r="Q6" s="286">
        <v>0</v>
      </c>
      <c r="R6" s="285">
        <v>3460</v>
      </c>
      <c r="S6" s="286">
        <v>2924</v>
      </c>
      <c r="T6" s="286">
        <v>2924</v>
      </c>
      <c r="U6" s="286">
        <v>2853</v>
      </c>
      <c r="V6" s="287">
        <v>2954</v>
      </c>
      <c r="W6" s="283">
        <v>40</v>
      </c>
      <c r="X6" s="283">
        <v>0</v>
      </c>
      <c r="Y6" s="283">
        <v>43</v>
      </c>
      <c r="Z6" s="288">
        <v>0</v>
      </c>
      <c r="AA6" s="288">
        <v>57</v>
      </c>
      <c r="AB6" s="284">
        <v>0</v>
      </c>
      <c r="AC6" s="284">
        <f t="shared" si="0"/>
        <v>101</v>
      </c>
      <c r="AD6" s="222">
        <f t="shared" si="1"/>
        <v>-71</v>
      </c>
      <c r="AE6" s="223">
        <v>125</v>
      </c>
      <c r="AF6" s="224">
        <f t="shared" si="2"/>
        <v>0.98466666666666669</v>
      </c>
      <c r="AG6" s="225">
        <f t="shared" si="3"/>
        <v>144.16666666666666</v>
      </c>
      <c r="AH6" s="224">
        <f t="shared" si="4"/>
        <v>0.8245664739884393</v>
      </c>
      <c r="AI6" s="226">
        <f t="shared" si="5"/>
        <v>1</v>
      </c>
      <c r="AJ6" s="227">
        <f t="shared" si="6"/>
        <v>0.88571428571428568</v>
      </c>
      <c r="AK6" s="255">
        <v>9.2430000000000003</v>
      </c>
      <c r="AL6" s="256">
        <v>207.04</v>
      </c>
      <c r="AM6" s="282">
        <f t="shared" si="7"/>
        <v>1913.6707200000001</v>
      </c>
      <c r="AN6" s="255">
        <v>23.268990000000002</v>
      </c>
      <c r="AO6" s="323">
        <v>980.70135403384495</v>
      </c>
      <c r="AP6" s="290">
        <f t="shared" si="8"/>
        <v>22819.93</v>
      </c>
      <c r="AQ6" s="228">
        <f t="shared" si="9"/>
        <v>8669.330781633369</v>
      </c>
      <c r="AR6" s="229">
        <f t="shared" si="10"/>
        <v>121.83333333333333</v>
      </c>
      <c r="AS6" s="13"/>
      <c r="AT6" s="223">
        <v>0</v>
      </c>
      <c r="AU6" s="292">
        <v>0</v>
      </c>
      <c r="AV6" s="292">
        <v>0</v>
      </c>
      <c r="AW6" s="223">
        <v>0</v>
      </c>
      <c r="AX6" s="292">
        <v>16</v>
      </c>
      <c r="AY6" s="223">
        <v>1440</v>
      </c>
      <c r="AZ6" s="223">
        <v>0</v>
      </c>
      <c r="BB6" s="242">
        <v>951</v>
      </c>
      <c r="BC6" s="242">
        <v>1028</v>
      </c>
      <c r="BD6" s="242">
        <v>975</v>
      </c>
      <c r="BE6" s="242">
        <f t="shared" si="11"/>
        <v>77</v>
      </c>
      <c r="BF6" s="242">
        <f t="shared" si="12"/>
        <v>8669.330781633369</v>
      </c>
      <c r="BG6" s="294">
        <f t="shared" si="13"/>
        <v>40.625</v>
      </c>
      <c r="BH6" s="295">
        <v>0</v>
      </c>
      <c r="BI6" s="296">
        <v>0</v>
      </c>
      <c r="BJ6" s="297">
        <v>22</v>
      </c>
      <c r="BK6" s="298">
        <v>24.62</v>
      </c>
      <c r="BL6" s="298">
        <v>21.23</v>
      </c>
      <c r="BM6" s="298">
        <v>27.94</v>
      </c>
      <c r="BN6" s="299">
        <v>988.17</v>
      </c>
      <c r="BO6" s="298">
        <v>50.08</v>
      </c>
      <c r="BP6" s="300">
        <v>0.93149999999999999</v>
      </c>
      <c r="BQ6" s="298">
        <v>93.41</v>
      </c>
      <c r="BR6" s="297">
        <v>87.24</v>
      </c>
      <c r="BS6" s="242">
        <v>12162</v>
      </c>
      <c r="BT6" s="242">
        <v>11926</v>
      </c>
      <c r="BU6" s="301">
        <f t="shared" si="14"/>
        <v>-236</v>
      </c>
      <c r="BV6" s="242">
        <f>BH6+BI6</f>
        <v>0</v>
      </c>
      <c r="BW6" s="302">
        <v>0</v>
      </c>
      <c r="BX6" s="302">
        <v>0</v>
      </c>
      <c r="BZ6" s="302">
        <v>22.28</v>
      </c>
      <c r="CA6" s="302">
        <v>6.17</v>
      </c>
      <c r="CC6" s="302">
        <v>2.1</v>
      </c>
      <c r="CD6" s="302">
        <v>4.3</v>
      </c>
      <c r="CE6" s="302">
        <v>2</v>
      </c>
      <c r="CF6" s="302">
        <v>0</v>
      </c>
    </row>
    <row r="7" spans="1:84">
      <c r="A7" s="525"/>
      <c r="B7" s="24">
        <v>43341</v>
      </c>
      <c r="C7" s="280">
        <v>94.5</v>
      </c>
      <c r="D7" s="281">
        <v>0.59699999999999998</v>
      </c>
      <c r="E7" s="282">
        <v>77.8</v>
      </c>
      <c r="F7" s="223">
        <v>104</v>
      </c>
      <c r="G7" s="223">
        <v>84</v>
      </c>
      <c r="H7" s="283">
        <v>24</v>
      </c>
      <c r="I7" s="283">
        <v>0</v>
      </c>
      <c r="J7" s="283">
        <v>24</v>
      </c>
      <c r="K7" s="283">
        <v>0</v>
      </c>
      <c r="L7" s="284">
        <v>0</v>
      </c>
      <c r="M7" s="284">
        <v>0</v>
      </c>
      <c r="N7" s="284">
        <v>0</v>
      </c>
      <c r="O7" s="284">
        <v>0</v>
      </c>
      <c r="P7" s="284">
        <v>0</v>
      </c>
      <c r="Q7" s="286">
        <v>0</v>
      </c>
      <c r="R7" s="285">
        <v>3453</v>
      </c>
      <c r="S7" s="286">
        <v>2920</v>
      </c>
      <c r="T7" s="286">
        <v>2920</v>
      </c>
      <c r="U7" s="286">
        <v>2845</v>
      </c>
      <c r="V7" s="287">
        <v>2945</v>
      </c>
      <c r="W7" s="283">
        <v>41</v>
      </c>
      <c r="X7" s="283">
        <v>0</v>
      </c>
      <c r="Y7" s="283">
        <v>43</v>
      </c>
      <c r="Z7" s="288">
        <v>0</v>
      </c>
      <c r="AA7" s="288">
        <v>57</v>
      </c>
      <c r="AB7" s="284">
        <v>0</v>
      </c>
      <c r="AC7" s="284">
        <f t="shared" si="0"/>
        <v>100</v>
      </c>
      <c r="AD7" s="222">
        <f t="shared" si="1"/>
        <v>-75</v>
      </c>
      <c r="AE7" s="223">
        <v>126</v>
      </c>
      <c r="AF7" s="224">
        <f t="shared" si="2"/>
        <v>0.97387566137566139</v>
      </c>
      <c r="AG7" s="225">
        <f t="shared" si="3"/>
        <v>143.875</v>
      </c>
      <c r="AH7" s="224">
        <f t="shared" si="4"/>
        <v>0.82392122791775269</v>
      </c>
      <c r="AI7" s="226">
        <f t="shared" si="5"/>
        <v>1</v>
      </c>
      <c r="AJ7" s="227">
        <f t="shared" si="6"/>
        <v>0.87943262411347511</v>
      </c>
      <c r="AK7" s="255">
        <v>9.2720000000000002</v>
      </c>
      <c r="AL7" s="256">
        <v>204.93</v>
      </c>
      <c r="AM7" s="282">
        <f t="shared" si="7"/>
        <v>1900.1109600000002</v>
      </c>
      <c r="AN7" s="255">
        <v>23.091349999999998</v>
      </c>
      <c r="AO7" s="323">
        <v>998.97753920840501</v>
      </c>
      <c r="AP7" s="290">
        <f t="shared" si="8"/>
        <v>23067.74</v>
      </c>
      <c r="AQ7" s="228">
        <f t="shared" si="9"/>
        <v>8776.046031634447</v>
      </c>
      <c r="AR7" s="229">
        <f t="shared" si="10"/>
        <v>121.66666666666667</v>
      </c>
      <c r="AS7" s="13"/>
      <c r="AT7" s="223">
        <v>0</v>
      </c>
      <c r="AU7" s="292">
        <v>0</v>
      </c>
      <c r="AV7" s="292">
        <v>0</v>
      </c>
      <c r="AW7" s="223">
        <v>0</v>
      </c>
      <c r="AX7" s="292">
        <v>17</v>
      </c>
      <c r="AY7" s="223">
        <v>1440</v>
      </c>
      <c r="AZ7" s="223">
        <v>0</v>
      </c>
      <c r="BB7" s="242">
        <v>945</v>
      </c>
      <c r="BC7" s="242">
        <v>1027</v>
      </c>
      <c r="BD7" s="242">
        <v>973</v>
      </c>
      <c r="BE7" s="242">
        <f t="shared" si="11"/>
        <v>82</v>
      </c>
      <c r="BF7" s="242">
        <f t="shared" si="12"/>
        <v>8776.046031634447</v>
      </c>
      <c r="BG7" s="294">
        <f t="shared" si="13"/>
        <v>40.541666666666664</v>
      </c>
      <c r="BH7" s="295">
        <v>0</v>
      </c>
      <c r="BI7" s="296">
        <v>0</v>
      </c>
      <c r="BJ7" s="297">
        <v>28.9</v>
      </c>
      <c r="BK7" s="298">
        <v>24.31</v>
      </c>
      <c r="BL7" s="298">
        <v>20.97</v>
      </c>
      <c r="BM7" s="298">
        <v>27.9</v>
      </c>
      <c r="BN7" s="299">
        <v>988.1</v>
      </c>
      <c r="BO7" s="298">
        <v>50.09</v>
      </c>
      <c r="BP7" s="300">
        <v>0.93130000000000002</v>
      </c>
      <c r="BQ7" s="298">
        <v>93.7</v>
      </c>
      <c r="BR7" s="297">
        <v>87.22</v>
      </c>
      <c r="BS7" s="242">
        <v>12073</v>
      </c>
      <c r="BT7" s="242">
        <v>11846</v>
      </c>
      <c r="BU7" s="301">
        <f t="shared" si="14"/>
        <v>-227</v>
      </c>
      <c r="BV7" s="242">
        <v>0</v>
      </c>
      <c r="BW7" s="302">
        <v>0</v>
      </c>
      <c r="BX7" s="302">
        <v>0</v>
      </c>
      <c r="BZ7" s="302">
        <v>18.13</v>
      </c>
      <c r="CA7" s="302">
        <v>6.72</v>
      </c>
      <c r="CC7" s="302">
        <v>2.1</v>
      </c>
      <c r="CD7" s="302">
        <v>4.3</v>
      </c>
      <c r="CE7" s="302">
        <v>2.1</v>
      </c>
      <c r="CF7" s="302">
        <v>0</v>
      </c>
    </row>
    <row r="8" spans="1:84">
      <c r="A8" s="525"/>
      <c r="B8" s="24">
        <v>43342</v>
      </c>
      <c r="C8" s="280">
        <v>93.6</v>
      </c>
      <c r="D8" s="281">
        <v>0.61899999999999999</v>
      </c>
      <c r="E8" s="282">
        <v>78.400000000000006</v>
      </c>
      <c r="F8" s="223">
        <v>103</v>
      </c>
      <c r="G8" s="223">
        <v>84</v>
      </c>
      <c r="H8" s="283">
        <v>24</v>
      </c>
      <c r="I8" s="283">
        <v>0</v>
      </c>
      <c r="J8" s="283">
        <v>24</v>
      </c>
      <c r="K8" s="283">
        <v>0</v>
      </c>
      <c r="L8" s="284">
        <v>0</v>
      </c>
      <c r="M8" s="284">
        <v>0</v>
      </c>
      <c r="N8" s="284">
        <v>0</v>
      </c>
      <c r="O8" s="284">
        <v>0</v>
      </c>
      <c r="P8" s="284">
        <v>0</v>
      </c>
      <c r="Q8" s="286">
        <v>0</v>
      </c>
      <c r="R8" s="285">
        <v>3461</v>
      </c>
      <c r="S8" s="286">
        <v>2947</v>
      </c>
      <c r="T8" s="286">
        <v>2947</v>
      </c>
      <c r="U8" s="286">
        <v>2875</v>
      </c>
      <c r="V8" s="287">
        <v>2974</v>
      </c>
      <c r="W8" s="283">
        <v>40</v>
      </c>
      <c r="X8" s="283">
        <v>0</v>
      </c>
      <c r="Y8" s="283">
        <v>43</v>
      </c>
      <c r="Z8" s="288">
        <v>0</v>
      </c>
      <c r="AA8" s="288">
        <v>57</v>
      </c>
      <c r="AB8" s="284">
        <v>0</v>
      </c>
      <c r="AC8" s="284">
        <f t="shared" si="0"/>
        <v>99</v>
      </c>
      <c r="AD8" s="222">
        <f t="shared" si="1"/>
        <v>-72</v>
      </c>
      <c r="AE8" s="223">
        <v>125</v>
      </c>
      <c r="AF8" s="224">
        <f t="shared" si="2"/>
        <v>0.99133333333333329</v>
      </c>
      <c r="AG8" s="225">
        <f t="shared" si="3"/>
        <v>144.20833333333334</v>
      </c>
      <c r="AH8" s="224">
        <f t="shared" si="4"/>
        <v>0.83068477318694023</v>
      </c>
      <c r="AI8" s="226">
        <f t="shared" si="5"/>
        <v>1</v>
      </c>
      <c r="AJ8" s="227">
        <f t="shared" si="6"/>
        <v>0.88571428571428568</v>
      </c>
      <c r="AK8" s="255">
        <v>9.2840000000000007</v>
      </c>
      <c r="AL8" s="256">
        <v>206.72</v>
      </c>
      <c r="AM8" s="282">
        <f t="shared" si="7"/>
        <v>1919.18848</v>
      </c>
      <c r="AN8" s="255">
        <v>23.31465</v>
      </c>
      <c r="AO8" s="323">
        <v>1000.441310506484</v>
      </c>
      <c r="AP8" s="290">
        <f t="shared" si="8"/>
        <v>23324.938999999998</v>
      </c>
      <c r="AQ8" s="228">
        <f t="shared" si="9"/>
        <v>8780.5660800000005</v>
      </c>
      <c r="AR8" s="229">
        <f t="shared" si="10"/>
        <v>122.79166666666667</v>
      </c>
      <c r="AS8" s="13"/>
      <c r="AT8" s="223">
        <v>0</v>
      </c>
      <c r="AU8" s="292">
        <v>0</v>
      </c>
      <c r="AV8" s="292">
        <v>0</v>
      </c>
      <c r="AW8" s="223">
        <v>0</v>
      </c>
      <c r="AX8" s="292">
        <v>16</v>
      </c>
      <c r="AY8" s="223">
        <v>1440</v>
      </c>
      <c r="AZ8" s="223">
        <v>0</v>
      </c>
      <c r="BB8" s="242">
        <v>977</v>
      </c>
      <c r="BC8" s="242">
        <v>1023</v>
      </c>
      <c r="BD8" s="242">
        <v>974</v>
      </c>
      <c r="BE8" s="242">
        <f t="shared" si="11"/>
        <v>46</v>
      </c>
      <c r="BF8" s="242">
        <f t="shared" si="12"/>
        <v>8780.5660800000005</v>
      </c>
      <c r="BG8" s="294">
        <f t="shared" si="13"/>
        <v>40.583333333333336</v>
      </c>
      <c r="BH8" s="295">
        <v>0</v>
      </c>
      <c r="BI8" s="296">
        <v>0</v>
      </c>
      <c r="BJ8" s="297">
        <v>28.8</v>
      </c>
      <c r="BK8" s="298">
        <v>24.81</v>
      </c>
      <c r="BL8" s="298">
        <v>20.92</v>
      </c>
      <c r="BM8" s="298">
        <v>27.9</v>
      </c>
      <c r="BN8" s="299">
        <v>985.83</v>
      </c>
      <c r="BO8" s="298">
        <v>50.05</v>
      </c>
      <c r="BP8" s="300">
        <v>0.93110000000000004</v>
      </c>
      <c r="BQ8" s="298">
        <v>96.97</v>
      </c>
      <c r="BR8" s="297">
        <v>87.31</v>
      </c>
      <c r="BS8" s="242">
        <v>11926</v>
      </c>
      <c r="BT8" s="242">
        <v>11856</v>
      </c>
      <c r="BU8" s="301">
        <f t="shared" si="14"/>
        <v>-70</v>
      </c>
      <c r="BV8" s="242">
        <v>0</v>
      </c>
      <c r="BW8" s="302">
        <v>0</v>
      </c>
      <c r="BX8" s="302">
        <v>0</v>
      </c>
      <c r="BZ8" s="302">
        <v>24</v>
      </c>
      <c r="CA8" s="302">
        <v>6.67</v>
      </c>
      <c r="CC8" s="302">
        <v>2.1</v>
      </c>
      <c r="CD8" s="302">
        <v>4.5</v>
      </c>
      <c r="CE8" s="302">
        <v>2</v>
      </c>
      <c r="CF8" s="302">
        <v>0</v>
      </c>
    </row>
    <row r="9" spans="1:84">
      <c r="A9" s="525"/>
      <c r="B9" s="24">
        <v>43343</v>
      </c>
      <c r="C9" s="280">
        <v>91.77</v>
      </c>
      <c r="D9" s="281">
        <v>0.64429999999999998</v>
      </c>
      <c r="E9" s="282">
        <v>76.760000000000005</v>
      </c>
      <c r="F9" s="223">
        <v>99.2</v>
      </c>
      <c r="G9" s="223">
        <v>85.6</v>
      </c>
      <c r="H9" s="283">
        <v>24</v>
      </c>
      <c r="I9" s="283">
        <v>0</v>
      </c>
      <c r="J9" s="283">
        <v>24</v>
      </c>
      <c r="K9" s="283">
        <v>0</v>
      </c>
      <c r="L9" s="284">
        <v>0</v>
      </c>
      <c r="M9" s="284">
        <v>0</v>
      </c>
      <c r="N9" s="284">
        <v>0</v>
      </c>
      <c r="O9" s="284">
        <v>0</v>
      </c>
      <c r="P9" s="284">
        <v>0</v>
      </c>
      <c r="Q9" s="286">
        <v>0</v>
      </c>
      <c r="R9" s="285">
        <v>3481</v>
      </c>
      <c r="S9" s="286">
        <v>2955</v>
      </c>
      <c r="T9" s="286">
        <v>2955</v>
      </c>
      <c r="U9" s="286">
        <v>2889</v>
      </c>
      <c r="V9" s="287">
        <v>2986</v>
      </c>
      <c r="W9" s="283">
        <v>41</v>
      </c>
      <c r="X9" s="283">
        <v>0</v>
      </c>
      <c r="Y9" s="283">
        <v>43</v>
      </c>
      <c r="Z9" s="288">
        <v>0</v>
      </c>
      <c r="AA9" s="288">
        <v>57</v>
      </c>
      <c r="AB9" s="284">
        <v>0</v>
      </c>
      <c r="AC9" s="284">
        <f t="shared" si="0"/>
        <v>97</v>
      </c>
      <c r="AD9" s="222">
        <f t="shared" si="1"/>
        <v>-66</v>
      </c>
      <c r="AE9" s="223">
        <v>126</v>
      </c>
      <c r="AF9" s="224">
        <f t="shared" si="2"/>
        <v>0.98743386243386244</v>
      </c>
      <c r="AG9" s="225">
        <f t="shared" si="3"/>
        <v>145.04166666666666</v>
      </c>
      <c r="AH9" s="224">
        <f t="shared" si="4"/>
        <v>0.82993392703246194</v>
      </c>
      <c r="AI9" s="226">
        <f t="shared" si="5"/>
        <v>1</v>
      </c>
      <c r="AJ9" s="227">
        <f t="shared" si="6"/>
        <v>0.88652482269503552</v>
      </c>
      <c r="AK9" s="255">
        <v>9.2520000000000007</v>
      </c>
      <c r="AL9" s="256">
        <v>205.73</v>
      </c>
      <c r="AM9" s="282">
        <f t="shared" si="7"/>
        <v>1903.4139600000001</v>
      </c>
      <c r="AN9" s="255">
        <v>23.541990000000002</v>
      </c>
      <c r="AO9" s="323">
        <v>993.10385400724397</v>
      </c>
      <c r="AP9" s="290">
        <f t="shared" si="8"/>
        <v>23379.641</v>
      </c>
      <c r="AQ9" s="228">
        <f t="shared" si="9"/>
        <v>8751.490121149187</v>
      </c>
      <c r="AR9" s="229">
        <f t="shared" si="10"/>
        <v>123.125</v>
      </c>
      <c r="AS9" s="13"/>
      <c r="AT9" s="223">
        <v>0</v>
      </c>
      <c r="AU9" s="292">
        <v>0</v>
      </c>
      <c r="AV9" s="292">
        <v>0</v>
      </c>
      <c r="AW9" s="223">
        <v>0</v>
      </c>
      <c r="AX9" s="292">
        <v>16</v>
      </c>
      <c r="AY9" s="223">
        <v>1440</v>
      </c>
      <c r="AZ9" s="223">
        <v>0</v>
      </c>
      <c r="BB9" s="242">
        <v>980</v>
      </c>
      <c r="BC9" s="242">
        <v>1028</v>
      </c>
      <c r="BD9" s="242">
        <v>978</v>
      </c>
      <c r="BE9" s="242">
        <f t="shared" si="11"/>
        <v>48</v>
      </c>
      <c r="BF9" s="242">
        <f t="shared" si="12"/>
        <v>8751.490121149187</v>
      </c>
      <c r="BG9" s="294">
        <f t="shared" si="13"/>
        <v>40.75</v>
      </c>
      <c r="BH9" s="295">
        <v>0</v>
      </c>
      <c r="BI9" s="296">
        <v>0</v>
      </c>
      <c r="BJ9" s="297">
        <v>28.98</v>
      </c>
      <c r="BK9" s="298">
        <v>25.04</v>
      </c>
      <c r="BL9" s="298">
        <v>21.17</v>
      </c>
      <c r="BM9" s="298">
        <v>27.96</v>
      </c>
      <c r="BN9" s="299">
        <v>985.6</v>
      </c>
      <c r="BO9" s="298">
        <v>50.04</v>
      </c>
      <c r="BP9" s="300">
        <v>0.93200000000000005</v>
      </c>
      <c r="BQ9" s="298">
        <v>96.96</v>
      </c>
      <c r="BR9" s="297">
        <v>87.2</v>
      </c>
      <c r="BS9" s="242">
        <v>11977</v>
      </c>
      <c r="BT9" s="242">
        <v>11898</v>
      </c>
      <c r="BU9" s="301">
        <f t="shared" si="14"/>
        <v>-79</v>
      </c>
      <c r="BV9" s="242">
        <v>0</v>
      </c>
      <c r="BW9" s="302">
        <v>0</v>
      </c>
      <c r="BX9" s="302">
        <v>0</v>
      </c>
      <c r="BZ9" s="302">
        <v>24</v>
      </c>
      <c r="CA9" s="302">
        <v>6.5</v>
      </c>
      <c r="CC9" s="302">
        <v>2.1</v>
      </c>
      <c r="CD9" s="302">
        <v>4.6500000000000004</v>
      </c>
      <c r="CE9" s="302">
        <v>2.1</v>
      </c>
      <c r="CF9" s="302">
        <v>0</v>
      </c>
    </row>
    <row r="10" spans="1:84">
      <c r="A10" s="525"/>
      <c r="B10" s="24">
        <v>43344</v>
      </c>
      <c r="C10" s="280">
        <v>90.75</v>
      </c>
      <c r="D10" s="281">
        <v>0.65139999999999998</v>
      </c>
      <c r="E10" s="282">
        <v>77.099999999999994</v>
      </c>
      <c r="F10" s="223">
        <v>99</v>
      </c>
      <c r="G10" s="223">
        <v>84</v>
      </c>
      <c r="H10" s="283">
        <v>24</v>
      </c>
      <c r="I10" s="283">
        <v>0</v>
      </c>
      <c r="J10" s="283">
        <v>24</v>
      </c>
      <c r="K10" s="283">
        <v>0</v>
      </c>
      <c r="L10" s="284">
        <v>0</v>
      </c>
      <c r="M10" s="284">
        <v>0</v>
      </c>
      <c r="N10" s="284">
        <v>0</v>
      </c>
      <c r="O10" s="284">
        <v>0</v>
      </c>
      <c r="P10" s="284">
        <v>0</v>
      </c>
      <c r="Q10" s="286">
        <v>0</v>
      </c>
      <c r="R10" s="285">
        <v>3488</v>
      </c>
      <c r="S10" s="286">
        <v>2977</v>
      </c>
      <c r="T10" s="286">
        <v>2977</v>
      </c>
      <c r="U10" s="286">
        <v>2906</v>
      </c>
      <c r="V10" s="287">
        <v>3002</v>
      </c>
      <c r="W10" s="283">
        <v>41</v>
      </c>
      <c r="X10" s="283">
        <v>0</v>
      </c>
      <c r="Y10" s="283">
        <v>43</v>
      </c>
      <c r="Z10" s="288">
        <v>0</v>
      </c>
      <c r="AA10" s="288">
        <v>57</v>
      </c>
      <c r="AB10" s="284">
        <v>0</v>
      </c>
      <c r="AC10" s="284">
        <f t="shared" si="0"/>
        <v>96</v>
      </c>
      <c r="AD10" s="222">
        <f t="shared" si="1"/>
        <v>-71</v>
      </c>
      <c r="AE10" s="223">
        <v>127</v>
      </c>
      <c r="AF10" s="224">
        <f t="shared" si="2"/>
        <v>0.98490813648293962</v>
      </c>
      <c r="AG10" s="225">
        <f t="shared" si="3"/>
        <v>145.33333333333334</v>
      </c>
      <c r="AH10" s="224">
        <f t="shared" si="4"/>
        <v>0.83314220183486243</v>
      </c>
      <c r="AI10" s="226">
        <f t="shared" si="5"/>
        <v>1</v>
      </c>
      <c r="AJ10" s="227">
        <f t="shared" si="6"/>
        <v>0.88652482269503552</v>
      </c>
      <c r="AK10" s="271">
        <v>8.9420000000000002</v>
      </c>
      <c r="AL10" s="347">
        <v>200.59</v>
      </c>
      <c r="AM10" s="282">
        <f t="shared" si="7"/>
        <v>1793.67578</v>
      </c>
      <c r="AN10" s="271">
        <v>23.864740000000001</v>
      </c>
      <c r="AO10" s="320">
        <v>983.02726113923711</v>
      </c>
      <c r="AP10" s="290">
        <f t="shared" si="8"/>
        <v>23459.69</v>
      </c>
      <c r="AQ10" s="228">
        <f t="shared" si="9"/>
        <v>8690.0776944253266</v>
      </c>
      <c r="AR10" s="229">
        <f t="shared" si="10"/>
        <v>124.04166666666667</v>
      </c>
      <c r="AS10" s="13"/>
      <c r="AT10" s="223">
        <v>0</v>
      </c>
      <c r="AU10" s="292">
        <v>0</v>
      </c>
      <c r="AV10" s="292">
        <v>0</v>
      </c>
      <c r="AW10" s="223">
        <v>0</v>
      </c>
      <c r="AX10" s="292">
        <v>16</v>
      </c>
      <c r="AY10" s="223">
        <v>1440</v>
      </c>
      <c r="AZ10" s="223">
        <v>0</v>
      </c>
      <c r="BB10" s="242">
        <v>986</v>
      </c>
      <c r="BC10" s="242">
        <v>1034</v>
      </c>
      <c r="BD10" s="242">
        <v>982</v>
      </c>
      <c r="BE10" s="242">
        <f t="shared" si="11"/>
        <v>48</v>
      </c>
      <c r="BF10" s="242">
        <f t="shared" si="12"/>
        <v>8690.0776944253266</v>
      </c>
      <c r="BG10" s="294">
        <f t="shared" si="13"/>
        <v>40.916666666666664</v>
      </c>
      <c r="BH10" s="295">
        <v>0</v>
      </c>
      <c r="BI10" s="296">
        <v>0</v>
      </c>
      <c r="BJ10" s="297">
        <v>29.1</v>
      </c>
      <c r="BK10" s="298">
        <v>25.5</v>
      </c>
      <c r="BL10" s="298">
        <v>21.6</v>
      </c>
      <c r="BM10" s="298">
        <v>28.02</v>
      </c>
      <c r="BN10" s="299">
        <v>988.7</v>
      </c>
      <c r="BO10" s="298">
        <v>50.01</v>
      </c>
      <c r="BP10" s="300">
        <v>0.93279999999999996</v>
      </c>
      <c r="BQ10" s="298">
        <v>97</v>
      </c>
      <c r="BR10" s="297">
        <v>87.2</v>
      </c>
      <c r="BS10" s="242">
        <v>12144</v>
      </c>
      <c r="BT10" s="242">
        <v>12024</v>
      </c>
      <c r="BU10" s="301">
        <f t="shared" si="14"/>
        <v>-120</v>
      </c>
      <c r="BV10" s="242">
        <v>0</v>
      </c>
      <c r="BW10" s="302">
        <v>0</v>
      </c>
      <c r="BX10" s="302">
        <v>0</v>
      </c>
      <c r="BZ10" s="302">
        <v>24</v>
      </c>
      <c r="CA10" s="302">
        <v>6.67</v>
      </c>
      <c r="CC10" s="302">
        <v>2.1</v>
      </c>
      <c r="CD10" s="302">
        <v>4.4000000000000004</v>
      </c>
      <c r="CE10" s="302">
        <v>2.1</v>
      </c>
      <c r="CF10" s="302">
        <v>0</v>
      </c>
    </row>
    <row r="11" spans="1:84">
      <c r="A11" s="525"/>
      <c r="B11" s="24">
        <v>43345</v>
      </c>
      <c r="C11" s="280">
        <v>90.21</v>
      </c>
      <c r="D11" s="281">
        <v>0.66479999999999995</v>
      </c>
      <c r="E11" s="282">
        <v>77.83</v>
      </c>
      <c r="F11" s="223">
        <v>99</v>
      </c>
      <c r="G11" s="223">
        <v>83</v>
      </c>
      <c r="H11" s="283">
        <v>24</v>
      </c>
      <c r="I11" s="283">
        <v>0</v>
      </c>
      <c r="J11" s="283">
        <v>24</v>
      </c>
      <c r="K11" s="283">
        <v>0</v>
      </c>
      <c r="L11" s="284">
        <v>0</v>
      </c>
      <c r="M11" s="284">
        <v>0</v>
      </c>
      <c r="N11" s="284">
        <v>0</v>
      </c>
      <c r="O11" s="284">
        <v>0</v>
      </c>
      <c r="P11" s="284">
        <v>0</v>
      </c>
      <c r="Q11" s="286">
        <v>0</v>
      </c>
      <c r="R11" s="285">
        <v>3497</v>
      </c>
      <c r="S11" s="286">
        <v>2973</v>
      </c>
      <c r="T11" s="286">
        <v>2973</v>
      </c>
      <c r="U11" s="286">
        <v>2902</v>
      </c>
      <c r="V11" s="287">
        <v>3001</v>
      </c>
      <c r="W11" s="283">
        <v>41</v>
      </c>
      <c r="X11" s="283">
        <v>0</v>
      </c>
      <c r="Y11" s="283">
        <v>43</v>
      </c>
      <c r="Z11" s="288">
        <v>0</v>
      </c>
      <c r="AA11" s="288">
        <v>57</v>
      </c>
      <c r="AB11" s="284">
        <v>0</v>
      </c>
      <c r="AC11" s="284">
        <f t="shared" si="0"/>
        <v>99</v>
      </c>
      <c r="AD11" s="222">
        <f t="shared" si="1"/>
        <v>-71</v>
      </c>
      <c r="AE11" s="223">
        <v>127</v>
      </c>
      <c r="AF11" s="224">
        <f t="shared" si="2"/>
        <v>0.98458005249343827</v>
      </c>
      <c r="AG11" s="225">
        <f t="shared" si="3"/>
        <v>145.70833333333334</v>
      </c>
      <c r="AH11" s="224">
        <f t="shared" si="4"/>
        <v>0.82985416070917928</v>
      </c>
      <c r="AI11" s="226">
        <f t="shared" si="5"/>
        <v>1</v>
      </c>
      <c r="AJ11" s="227">
        <f t="shared" si="6"/>
        <v>0.88652482269503552</v>
      </c>
      <c r="AK11" s="271">
        <v>8.9220000000000006</v>
      </c>
      <c r="AL11" s="347">
        <v>202.96</v>
      </c>
      <c r="AM11" s="282">
        <f t="shared" si="7"/>
        <v>1810.8091200000001</v>
      </c>
      <c r="AN11" s="271">
        <v>23.818809999999999</v>
      </c>
      <c r="AO11" s="320">
        <v>988.1488621807722</v>
      </c>
      <c r="AP11" s="290">
        <f t="shared" si="8"/>
        <v>23536.53</v>
      </c>
      <c r="AQ11" s="228">
        <f t="shared" si="9"/>
        <v>8734.4380151619571</v>
      </c>
      <c r="AR11" s="229">
        <f t="shared" si="10"/>
        <v>123.875</v>
      </c>
      <c r="AS11" s="13"/>
      <c r="AT11" s="223">
        <v>0</v>
      </c>
      <c r="AU11" s="292">
        <v>0</v>
      </c>
      <c r="AV11" s="292">
        <v>0</v>
      </c>
      <c r="AW11" s="223">
        <v>0</v>
      </c>
      <c r="AX11" s="292">
        <v>16</v>
      </c>
      <c r="AY11" s="223">
        <v>1440</v>
      </c>
      <c r="AZ11" s="223">
        <v>0</v>
      </c>
      <c r="BB11" s="242">
        <v>986</v>
      </c>
      <c r="BC11" s="242">
        <v>1034</v>
      </c>
      <c r="BD11" s="242">
        <v>981</v>
      </c>
      <c r="BE11" s="242">
        <f t="shared" si="11"/>
        <v>48</v>
      </c>
      <c r="BF11" s="242">
        <f t="shared" si="12"/>
        <v>8734.4380151619571</v>
      </c>
      <c r="BG11" s="294">
        <f t="shared" si="13"/>
        <v>40.875</v>
      </c>
      <c r="BH11" s="295">
        <v>0</v>
      </c>
      <c r="BI11" s="296">
        <v>0</v>
      </c>
      <c r="BJ11" s="297">
        <v>29.2</v>
      </c>
      <c r="BK11" s="298">
        <v>25.4</v>
      </c>
      <c r="BL11" s="298">
        <v>21.49</v>
      </c>
      <c r="BM11" s="298">
        <v>27.85</v>
      </c>
      <c r="BN11" s="299">
        <v>988.4</v>
      </c>
      <c r="BO11" s="298">
        <v>50.06</v>
      </c>
      <c r="BP11" s="300">
        <v>0.93169999999999997</v>
      </c>
      <c r="BQ11" s="298">
        <v>97.03</v>
      </c>
      <c r="BR11" s="297">
        <v>87.2</v>
      </c>
      <c r="BS11" s="242">
        <v>12092</v>
      </c>
      <c r="BT11" s="242">
        <v>11978</v>
      </c>
      <c r="BU11" s="301">
        <f t="shared" si="14"/>
        <v>-114</v>
      </c>
      <c r="BV11" s="242">
        <v>0</v>
      </c>
      <c r="BW11" s="302">
        <v>0</v>
      </c>
      <c r="BX11" s="302">
        <v>0</v>
      </c>
      <c r="BZ11" s="302">
        <v>24</v>
      </c>
      <c r="CA11" s="302">
        <v>6.67</v>
      </c>
      <c r="CC11" s="302">
        <v>2.1</v>
      </c>
      <c r="CD11" s="302">
        <v>4.55</v>
      </c>
      <c r="CE11" s="302">
        <v>2.1</v>
      </c>
      <c r="CF11" s="302">
        <v>0</v>
      </c>
    </row>
    <row r="12" spans="1:84" ht="15" customHeight="1">
      <c r="A12" s="451" t="s">
        <v>274</v>
      </c>
      <c r="B12" s="24">
        <v>43346</v>
      </c>
      <c r="C12" s="157">
        <v>91</v>
      </c>
      <c r="D12" s="158">
        <v>0.64</v>
      </c>
      <c r="E12" s="157">
        <v>77</v>
      </c>
      <c r="F12" s="159">
        <v>99</v>
      </c>
      <c r="G12" s="159">
        <v>84</v>
      </c>
      <c r="H12" s="160">
        <v>24</v>
      </c>
      <c r="I12" s="160">
        <v>0</v>
      </c>
      <c r="J12" s="160">
        <v>24</v>
      </c>
      <c r="K12" s="160">
        <v>0</v>
      </c>
      <c r="L12" s="161">
        <v>0</v>
      </c>
      <c r="M12" s="161">
        <v>0</v>
      </c>
      <c r="N12" s="161">
        <v>0</v>
      </c>
      <c r="O12" s="161">
        <v>0</v>
      </c>
      <c r="P12" s="161">
        <v>0</v>
      </c>
      <c r="Q12" s="262">
        <v>0</v>
      </c>
      <c r="R12" s="159">
        <v>3485</v>
      </c>
      <c r="S12" s="159">
        <v>2976</v>
      </c>
      <c r="T12" s="159">
        <v>2976</v>
      </c>
      <c r="U12" s="159">
        <v>2905</v>
      </c>
      <c r="V12" s="160">
        <v>3002</v>
      </c>
      <c r="W12" s="160">
        <v>41</v>
      </c>
      <c r="X12" s="160">
        <v>0</v>
      </c>
      <c r="Y12" s="160">
        <v>43</v>
      </c>
      <c r="Z12" s="161">
        <v>0</v>
      </c>
      <c r="AA12" s="161">
        <v>57</v>
      </c>
      <c r="AB12" s="161">
        <v>0</v>
      </c>
      <c r="AC12" s="165">
        <f t="shared" si="0"/>
        <v>97</v>
      </c>
      <c r="AD12" s="166">
        <f t="shared" si="1"/>
        <v>-71</v>
      </c>
      <c r="AE12" s="159">
        <v>128</v>
      </c>
      <c r="AF12" s="167">
        <f>IF(AE12&gt;0, V12/(AE12*24),"no data")</f>
        <v>0.97721354166666663</v>
      </c>
      <c r="AG12" s="168">
        <f t="shared" si="3"/>
        <v>145.20833333333334</v>
      </c>
      <c r="AH12" s="167">
        <f>IF(U12&gt;0,(U12/R12),"no data")</f>
        <v>0.83357245337159258</v>
      </c>
      <c r="AI12" s="169">
        <f t="shared" si="5"/>
        <v>1</v>
      </c>
      <c r="AJ12" s="170">
        <f t="shared" si="6"/>
        <v>0.88652482269503552</v>
      </c>
      <c r="AK12" s="366">
        <v>8.8840000000000003</v>
      </c>
      <c r="AL12" s="367">
        <v>200.79</v>
      </c>
      <c r="AM12" s="368">
        <f t="shared" si="7"/>
        <v>1783.81836</v>
      </c>
      <c r="AN12" s="366">
        <v>23.94323</v>
      </c>
      <c r="AO12" s="369">
        <v>985.1051842211765</v>
      </c>
      <c r="AP12" s="172">
        <f t="shared" si="8"/>
        <v>23586.6</v>
      </c>
      <c r="AQ12" s="202">
        <f t="shared" si="9"/>
        <v>8733.3626024096393</v>
      </c>
      <c r="AR12" s="340">
        <f t="shared" si="10"/>
        <v>124</v>
      </c>
      <c r="AS12" s="13"/>
      <c r="AT12" s="173">
        <v>0</v>
      </c>
      <c r="AU12" s="159">
        <v>0</v>
      </c>
      <c r="AV12" s="174">
        <v>0</v>
      </c>
      <c r="AW12" s="174">
        <v>0</v>
      </c>
      <c r="AX12" s="159">
        <v>16</v>
      </c>
      <c r="AY12" s="174">
        <v>1440</v>
      </c>
      <c r="AZ12" s="159">
        <v>0</v>
      </c>
      <c r="BB12" s="159">
        <v>987</v>
      </c>
      <c r="BC12" s="159">
        <v>1033</v>
      </c>
      <c r="BD12" s="159">
        <v>982</v>
      </c>
      <c r="BE12" s="175">
        <f t="shared" ref="BE12:BE39" si="15">BC12-BB12</f>
        <v>46</v>
      </c>
      <c r="BF12" s="176">
        <f t="shared" si="12"/>
        <v>8733.3626024096393</v>
      </c>
      <c r="BG12" s="177">
        <f t="shared" si="13"/>
        <v>40.916666666666664</v>
      </c>
      <c r="BH12" s="178">
        <v>0</v>
      </c>
      <c r="BI12" s="156">
        <v>0</v>
      </c>
      <c r="BJ12" s="177">
        <v>29.07</v>
      </c>
      <c r="BK12" s="175">
        <v>25.5</v>
      </c>
      <c r="BL12" s="175">
        <v>21.6</v>
      </c>
      <c r="BM12" s="175">
        <v>27.8</v>
      </c>
      <c r="BN12" s="175">
        <v>988.9</v>
      </c>
      <c r="BO12" s="177">
        <v>50.08</v>
      </c>
      <c r="BP12" s="180">
        <v>0.93169999999999997</v>
      </c>
      <c r="BQ12" s="186">
        <v>96.99</v>
      </c>
      <c r="BR12" s="186">
        <v>87.22</v>
      </c>
      <c r="BS12" s="179">
        <v>12147</v>
      </c>
      <c r="BT12" s="179">
        <v>12039</v>
      </c>
      <c r="BU12" s="51">
        <f t="shared" si="14"/>
        <v>-108</v>
      </c>
      <c r="BV12" s="353">
        <f>BH12+BI12</f>
        <v>0</v>
      </c>
      <c r="BW12" s="177">
        <v>0</v>
      </c>
      <c r="BX12" s="177">
        <v>0</v>
      </c>
      <c r="BZ12" s="177">
        <v>24</v>
      </c>
      <c r="CA12" s="177">
        <v>7.1</v>
      </c>
      <c r="CC12" s="177">
        <v>2.1</v>
      </c>
      <c r="CD12" s="177">
        <v>4.5999999999999996</v>
      </c>
      <c r="CE12" s="177">
        <v>2.1</v>
      </c>
      <c r="CF12" s="177">
        <v>0</v>
      </c>
    </row>
    <row r="13" spans="1:84">
      <c r="A13" s="452"/>
      <c r="B13" s="24">
        <v>43347</v>
      </c>
      <c r="C13" s="157">
        <v>92</v>
      </c>
      <c r="D13" s="197">
        <v>0.64900000000000002</v>
      </c>
      <c r="E13" s="157">
        <v>78</v>
      </c>
      <c r="F13" s="159">
        <v>100</v>
      </c>
      <c r="G13" s="159">
        <v>83</v>
      </c>
      <c r="H13" s="160">
        <v>24</v>
      </c>
      <c r="I13" s="160">
        <v>0</v>
      </c>
      <c r="J13" s="160">
        <v>24</v>
      </c>
      <c r="K13" s="160">
        <v>0</v>
      </c>
      <c r="L13" s="161">
        <v>0</v>
      </c>
      <c r="M13" s="161">
        <v>0</v>
      </c>
      <c r="N13" s="161">
        <v>0</v>
      </c>
      <c r="O13" s="161">
        <v>0</v>
      </c>
      <c r="P13" s="161">
        <v>0</v>
      </c>
      <c r="Q13" s="262">
        <v>0</v>
      </c>
      <c r="R13" s="159">
        <v>3475</v>
      </c>
      <c r="S13" s="159">
        <v>2972</v>
      </c>
      <c r="T13" s="159">
        <v>2972</v>
      </c>
      <c r="U13" s="159">
        <v>2902</v>
      </c>
      <c r="V13" s="160">
        <v>2999</v>
      </c>
      <c r="W13" s="160">
        <v>41</v>
      </c>
      <c r="X13" s="160">
        <v>0</v>
      </c>
      <c r="Y13" s="160">
        <v>43</v>
      </c>
      <c r="Z13" s="161">
        <v>0</v>
      </c>
      <c r="AA13" s="161">
        <v>57</v>
      </c>
      <c r="AB13" s="161">
        <v>0</v>
      </c>
      <c r="AC13" s="165">
        <f t="shared" si="0"/>
        <v>97</v>
      </c>
      <c r="AD13" s="166">
        <f t="shared" si="1"/>
        <v>-70</v>
      </c>
      <c r="AE13" s="159">
        <v>127</v>
      </c>
      <c r="AF13" s="167">
        <f t="shared" ref="AF13:AF39" si="16">IF(AE13&gt;0, V13/(AE13*24),"no data")</f>
        <v>0.98392388451443569</v>
      </c>
      <c r="AG13" s="168">
        <f t="shared" si="3"/>
        <v>144.79166666666666</v>
      </c>
      <c r="AH13" s="167">
        <f t="shared" ref="AH13:AH39" si="17">IF(U13&gt;0,(U13/R13),"no data")</f>
        <v>0.83510791366906478</v>
      </c>
      <c r="AI13" s="169">
        <f t="shared" si="5"/>
        <v>1</v>
      </c>
      <c r="AJ13" s="170">
        <f t="shared" si="6"/>
        <v>0.88652482269503552</v>
      </c>
      <c r="AK13" s="366">
        <v>8.8309999999999995</v>
      </c>
      <c r="AL13" s="367">
        <v>204.63</v>
      </c>
      <c r="AM13" s="368">
        <f t="shared" si="7"/>
        <v>1807.0875299999998</v>
      </c>
      <c r="AN13" s="366">
        <v>24.0487</v>
      </c>
      <c r="AO13" s="369">
        <v>979.07412874708405</v>
      </c>
      <c r="AP13" s="172">
        <f t="shared" si="8"/>
        <v>23545.46</v>
      </c>
      <c r="AQ13" s="202">
        <f t="shared" si="9"/>
        <v>8736.2327808408008</v>
      </c>
      <c r="AR13" s="340">
        <f t="shared" si="10"/>
        <v>123.83333333333333</v>
      </c>
      <c r="AS13" s="13"/>
      <c r="AT13" s="173">
        <v>0</v>
      </c>
      <c r="AU13" s="159">
        <v>0</v>
      </c>
      <c r="AV13" s="174">
        <v>0</v>
      </c>
      <c r="AW13" s="174">
        <v>0</v>
      </c>
      <c r="AX13" s="159">
        <v>16</v>
      </c>
      <c r="AY13" s="174">
        <v>1440</v>
      </c>
      <c r="AZ13" s="159">
        <v>0</v>
      </c>
      <c r="BA13" s="332"/>
      <c r="BB13" s="159">
        <v>986</v>
      </c>
      <c r="BC13" s="159">
        <v>1032</v>
      </c>
      <c r="BD13" s="159">
        <v>981</v>
      </c>
      <c r="BE13" s="175">
        <f t="shared" si="15"/>
        <v>46</v>
      </c>
      <c r="BF13" s="176">
        <f t="shared" si="12"/>
        <v>8736.2327808408008</v>
      </c>
      <c r="BG13" s="177">
        <f t="shared" si="13"/>
        <v>40.875</v>
      </c>
      <c r="BH13" s="178">
        <v>0</v>
      </c>
      <c r="BI13" s="156">
        <v>0</v>
      </c>
      <c r="BJ13" s="177">
        <v>28.99</v>
      </c>
      <c r="BK13" s="175">
        <v>25.7</v>
      </c>
      <c r="BL13" s="175">
        <v>22.28</v>
      </c>
      <c r="BM13" s="175">
        <v>27.8</v>
      </c>
      <c r="BN13" s="179">
        <v>989.5</v>
      </c>
      <c r="BO13" s="186">
        <v>50.12</v>
      </c>
      <c r="BP13" s="180">
        <v>0.93230000000000002</v>
      </c>
      <c r="BQ13" s="177">
        <v>96.88</v>
      </c>
      <c r="BR13" s="177">
        <v>87.2</v>
      </c>
      <c r="BS13" s="175">
        <v>12234</v>
      </c>
      <c r="BT13" s="175">
        <v>12307</v>
      </c>
      <c r="BU13" s="51">
        <f t="shared" si="14"/>
        <v>73</v>
      </c>
      <c r="BV13" s="353">
        <f t="shared" ref="BV13:BV39" si="18">BH13+BI13</f>
        <v>0</v>
      </c>
      <c r="BW13" s="177">
        <v>0</v>
      </c>
      <c r="BX13" s="177">
        <v>0</v>
      </c>
      <c r="BZ13" s="177">
        <v>24</v>
      </c>
      <c r="CA13" s="177">
        <v>7.1</v>
      </c>
      <c r="CC13" s="177">
        <v>2.1</v>
      </c>
      <c r="CD13" s="177">
        <v>5</v>
      </c>
      <c r="CE13" s="177">
        <v>2.1</v>
      </c>
      <c r="CF13" s="177">
        <v>0</v>
      </c>
    </row>
    <row r="14" spans="1:84">
      <c r="A14" s="452"/>
      <c r="B14" s="24">
        <v>43348</v>
      </c>
      <c r="C14" s="157">
        <v>91.4</v>
      </c>
      <c r="D14" s="197">
        <v>0.66</v>
      </c>
      <c r="E14" s="157">
        <v>78.099999999999994</v>
      </c>
      <c r="F14" s="159">
        <v>100</v>
      </c>
      <c r="G14" s="159">
        <v>83</v>
      </c>
      <c r="H14" s="160">
        <v>24</v>
      </c>
      <c r="I14" s="160">
        <v>0</v>
      </c>
      <c r="J14" s="160">
        <v>24</v>
      </c>
      <c r="K14" s="160">
        <v>0</v>
      </c>
      <c r="L14" s="161">
        <v>0</v>
      </c>
      <c r="M14" s="161">
        <v>0</v>
      </c>
      <c r="N14" s="161">
        <v>0</v>
      </c>
      <c r="O14" s="161">
        <v>0</v>
      </c>
      <c r="P14" s="161">
        <v>0</v>
      </c>
      <c r="Q14" s="262">
        <v>0</v>
      </c>
      <c r="R14" s="159">
        <v>3484</v>
      </c>
      <c r="S14" s="159">
        <v>2966</v>
      </c>
      <c r="T14" s="159">
        <v>2966</v>
      </c>
      <c r="U14" s="159">
        <v>2893</v>
      </c>
      <c r="V14" s="160">
        <v>2993</v>
      </c>
      <c r="W14" s="160">
        <v>41</v>
      </c>
      <c r="X14" s="160">
        <v>0</v>
      </c>
      <c r="Y14" s="160">
        <v>43</v>
      </c>
      <c r="Z14" s="161">
        <v>0</v>
      </c>
      <c r="AA14" s="161">
        <v>57</v>
      </c>
      <c r="AB14" s="161">
        <v>0</v>
      </c>
      <c r="AC14" s="165">
        <f t="shared" si="0"/>
        <v>100</v>
      </c>
      <c r="AD14" s="166">
        <f t="shared" si="1"/>
        <v>-73</v>
      </c>
      <c r="AE14" s="159">
        <v>126</v>
      </c>
      <c r="AF14" s="167">
        <f t="shared" si="16"/>
        <v>0.98974867724867721</v>
      </c>
      <c r="AG14" s="168">
        <f t="shared" si="3"/>
        <v>145.16666666666666</v>
      </c>
      <c r="AH14" s="167">
        <f t="shared" si="17"/>
        <v>0.83036739380022961</v>
      </c>
      <c r="AI14" s="169">
        <f t="shared" si="5"/>
        <v>1</v>
      </c>
      <c r="AJ14" s="170">
        <f t="shared" si="6"/>
        <v>0.88652482269503552</v>
      </c>
      <c r="AK14" s="366">
        <v>8.8960000000000008</v>
      </c>
      <c r="AL14" s="367">
        <v>206.56</v>
      </c>
      <c r="AM14" s="368">
        <f t="shared" si="7"/>
        <v>1837.5577600000001</v>
      </c>
      <c r="AN14" s="366">
        <v>23.996289999999998</v>
      </c>
      <c r="AO14" s="369">
        <v>979.53016903863067</v>
      </c>
      <c r="AP14" s="172">
        <f t="shared" si="8"/>
        <v>23505.09</v>
      </c>
      <c r="AQ14" s="202">
        <f t="shared" si="9"/>
        <v>8759.9888558589701</v>
      </c>
      <c r="AR14" s="340">
        <f t="shared" si="10"/>
        <v>123.58333333333333</v>
      </c>
      <c r="AS14" s="13"/>
      <c r="AT14" s="182">
        <v>0</v>
      </c>
      <c r="AU14" s="159">
        <v>0</v>
      </c>
      <c r="AV14" s="174">
        <v>0</v>
      </c>
      <c r="AW14" s="174">
        <v>0</v>
      </c>
      <c r="AX14" s="159">
        <v>16</v>
      </c>
      <c r="AY14" s="174">
        <v>1440</v>
      </c>
      <c r="AZ14" s="159">
        <v>0</v>
      </c>
      <c r="BA14" s="332"/>
      <c r="BB14" s="159">
        <v>984</v>
      </c>
      <c r="BC14" s="159">
        <v>1030</v>
      </c>
      <c r="BD14" s="159">
        <v>979</v>
      </c>
      <c r="BE14" s="175">
        <f t="shared" si="15"/>
        <v>46</v>
      </c>
      <c r="BF14" s="176">
        <f t="shared" si="12"/>
        <v>8759.9888558589701</v>
      </c>
      <c r="BG14" s="177">
        <f t="shared" si="13"/>
        <v>40.791666666666664</v>
      </c>
      <c r="BH14" s="178">
        <v>0</v>
      </c>
      <c r="BI14" s="156">
        <v>0</v>
      </c>
      <c r="BJ14" s="177">
        <v>28.94</v>
      </c>
      <c r="BK14" s="175">
        <v>25.64</v>
      </c>
      <c r="BL14" s="175">
        <v>22.57</v>
      </c>
      <c r="BM14" s="175">
        <v>27.8</v>
      </c>
      <c r="BN14" s="179">
        <v>988.6</v>
      </c>
      <c r="BO14" s="179">
        <v>50.09</v>
      </c>
      <c r="BP14" s="180">
        <v>0.93240000000000001</v>
      </c>
      <c r="BQ14" s="177">
        <v>96.93</v>
      </c>
      <c r="BR14" s="177">
        <v>87.21</v>
      </c>
      <c r="BS14" s="175">
        <v>12243</v>
      </c>
      <c r="BT14" s="175">
        <v>12423</v>
      </c>
      <c r="BU14" s="51">
        <f t="shared" si="14"/>
        <v>180</v>
      </c>
      <c r="BV14" s="353">
        <f t="shared" si="18"/>
        <v>0</v>
      </c>
      <c r="BW14" s="177">
        <v>0</v>
      </c>
      <c r="BX14" s="177">
        <v>0</v>
      </c>
      <c r="BZ14" s="177">
        <v>24</v>
      </c>
      <c r="CA14" s="177">
        <v>7.1</v>
      </c>
      <c r="CC14" s="177">
        <v>2.1</v>
      </c>
      <c r="CD14" s="177">
        <v>5</v>
      </c>
      <c r="CE14" s="177">
        <v>2</v>
      </c>
      <c r="CF14" s="177">
        <v>0</v>
      </c>
    </row>
    <row r="15" spans="1:84">
      <c r="A15" s="452"/>
      <c r="B15" s="24">
        <v>43349</v>
      </c>
      <c r="C15" s="157">
        <v>91.8</v>
      </c>
      <c r="D15" s="197">
        <v>0.626</v>
      </c>
      <c r="E15" s="157">
        <v>76.900000000000006</v>
      </c>
      <c r="F15" s="183">
        <v>102</v>
      </c>
      <c r="G15" s="183">
        <v>83</v>
      </c>
      <c r="H15" s="160">
        <v>24</v>
      </c>
      <c r="I15" s="160">
        <v>0</v>
      </c>
      <c r="J15" s="160">
        <v>24</v>
      </c>
      <c r="K15" s="160">
        <v>0</v>
      </c>
      <c r="L15" s="161">
        <v>0</v>
      </c>
      <c r="M15" s="161">
        <v>0</v>
      </c>
      <c r="N15" s="161">
        <v>0</v>
      </c>
      <c r="O15" s="161">
        <v>0</v>
      </c>
      <c r="P15" s="161">
        <v>0</v>
      </c>
      <c r="Q15" s="262">
        <v>0</v>
      </c>
      <c r="R15" s="159">
        <v>3479</v>
      </c>
      <c r="S15" s="159">
        <v>2981</v>
      </c>
      <c r="T15" s="159">
        <v>2981</v>
      </c>
      <c r="U15" s="159">
        <v>2908</v>
      </c>
      <c r="V15" s="160">
        <v>3006</v>
      </c>
      <c r="W15" s="160">
        <v>41</v>
      </c>
      <c r="X15" s="160">
        <v>0</v>
      </c>
      <c r="Y15" s="160">
        <v>43</v>
      </c>
      <c r="Z15" s="161">
        <v>0</v>
      </c>
      <c r="AA15" s="161">
        <v>57</v>
      </c>
      <c r="AB15" s="161">
        <v>0</v>
      </c>
      <c r="AC15" s="165">
        <f t="shared" si="0"/>
        <v>98</v>
      </c>
      <c r="AD15" s="166">
        <f t="shared" si="1"/>
        <v>-73</v>
      </c>
      <c r="AE15" s="159">
        <v>127</v>
      </c>
      <c r="AF15" s="167">
        <f t="shared" si="16"/>
        <v>0.98622047244094491</v>
      </c>
      <c r="AG15" s="168">
        <f t="shared" si="3"/>
        <v>144.95833333333334</v>
      </c>
      <c r="AH15" s="167">
        <f t="shared" si="17"/>
        <v>0.83587237711986206</v>
      </c>
      <c r="AI15" s="169">
        <f t="shared" si="5"/>
        <v>1</v>
      </c>
      <c r="AJ15" s="170">
        <f t="shared" si="6"/>
        <v>0.88652482269503552</v>
      </c>
      <c r="AK15" s="366">
        <v>8.8620000000000001</v>
      </c>
      <c r="AL15" s="367">
        <v>214.23</v>
      </c>
      <c r="AM15" s="368">
        <f t="shared" si="7"/>
        <v>1898.5062599999999</v>
      </c>
      <c r="AN15" s="366">
        <v>24.039159999999999</v>
      </c>
      <c r="AO15" s="369">
        <v>979.48222816437851</v>
      </c>
      <c r="AP15" s="172">
        <f t="shared" si="8"/>
        <v>23545.93</v>
      </c>
      <c r="AQ15" s="202">
        <f t="shared" si="9"/>
        <v>8749.8061416781275</v>
      </c>
      <c r="AR15" s="340">
        <f t="shared" si="10"/>
        <v>124.20833333333333</v>
      </c>
      <c r="AS15" s="13"/>
      <c r="AT15" s="159">
        <v>0</v>
      </c>
      <c r="AU15" s="174">
        <v>0</v>
      </c>
      <c r="AV15" s="174">
        <v>0</v>
      </c>
      <c r="AW15" s="159">
        <v>0</v>
      </c>
      <c r="AX15" s="174">
        <v>16</v>
      </c>
      <c r="AY15" s="159">
        <v>1440</v>
      </c>
      <c r="AZ15" s="159">
        <v>0</v>
      </c>
      <c r="BA15" s="332"/>
      <c r="BB15" s="175">
        <v>988</v>
      </c>
      <c r="BC15" s="175">
        <v>1034</v>
      </c>
      <c r="BD15" s="159">
        <v>984</v>
      </c>
      <c r="BE15" s="175">
        <f t="shared" si="15"/>
        <v>46</v>
      </c>
      <c r="BF15" s="177">
        <f t="shared" si="12"/>
        <v>8749.8061416781275</v>
      </c>
      <c r="BG15" s="177">
        <f t="shared" si="13"/>
        <v>41</v>
      </c>
      <c r="BH15" s="178">
        <v>0</v>
      </c>
      <c r="BI15" s="156">
        <v>0</v>
      </c>
      <c r="BJ15" s="177">
        <v>28.9</v>
      </c>
      <c r="BK15" s="175">
        <v>25.7</v>
      </c>
      <c r="BL15" s="175">
        <v>22.61</v>
      </c>
      <c r="BM15" s="175">
        <v>28.06</v>
      </c>
      <c r="BN15" s="179">
        <v>988.17</v>
      </c>
      <c r="BO15" s="179">
        <v>50.12</v>
      </c>
      <c r="BP15" s="185">
        <v>0.93510000000000004</v>
      </c>
      <c r="BQ15" s="177">
        <v>96.83</v>
      </c>
      <c r="BR15" s="177">
        <v>87.18</v>
      </c>
      <c r="BS15" s="175">
        <v>12209</v>
      </c>
      <c r="BT15" s="175">
        <v>12409</v>
      </c>
      <c r="BU15" s="51">
        <f t="shared" si="14"/>
        <v>200</v>
      </c>
      <c r="BV15" s="353">
        <f t="shared" si="18"/>
        <v>0</v>
      </c>
      <c r="BW15" s="177">
        <v>0</v>
      </c>
      <c r="BX15" s="177">
        <v>0</v>
      </c>
      <c r="BZ15" s="177">
        <v>24</v>
      </c>
      <c r="CA15" s="177">
        <v>7.58</v>
      </c>
      <c r="CC15" s="177">
        <v>2.1</v>
      </c>
      <c r="CD15" s="177">
        <v>5</v>
      </c>
      <c r="CE15" s="177">
        <v>2.1</v>
      </c>
      <c r="CF15" s="177">
        <v>0</v>
      </c>
    </row>
    <row r="16" spans="1:84">
      <c r="A16" s="452"/>
      <c r="B16" s="24">
        <v>43350</v>
      </c>
      <c r="C16" s="157">
        <v>91.7</v>
      </c>
      <c r="D16" s="197">
        <v>0.60599999999999998</v>
      </c>
      <c r="E16" s="157">
        <v>76</v>
      </c>
      <c r="F16" s="159">
        <v>103</v>
      </c>
      <c r="G16" s="159">
        <v>81</v>
      </c>
      <c r="H16" s="159">
        <v>24</v>
      </c>
      <c r="I16" s="159">
        <v>0</v>
      </c>
      <c r="J16" s="159">
        <v>24</v>
      </c>
      <c r="K16" s="159">
        <v>0</v>
      </c>
      <c r="L16" s="161">
        <v>0</v>
      </c>
      <c r="M16" s="161">
        <v>0</v>
      </c>
      <c r="N16" s="161">
        <v>0</v>
      </c>
      <c r="O16" s="161">
        <v>0</v>
      </c>
      <c r="P16" s="161">
        <v>0</v>
      </c>
      <c r="Q16" s="262">
        <v>0</v>
      </c>
      <c r="R16" s="159">
        <v>3482</v>
      </c>
      <c r="S16" s="159">
        <v>2998</v>
      </c>
      <c r="T16" s="159">
        <v>2998</v>
      </c>
      <c r="U16" s="159">
        <v>2921</v>
      </c>
      <c r="V16" s="159">
        <v>3016</v>
      </c>
      <c r="W16" s="159">
        <v>41</v>
      </c>
      <c r="X16" s="159">
        <v>0</v>
      </c>
      <c r="Y16" s="159">
        <v>43</v>
      </c>
      <c r="Z16" s="161">
        <v>0</v>
      </c>
      <c r="AA16" s="161">
        <v>57</v>
      </c>
      <c r="AB16" s="161">
        <v>0</v>
      </c>
      <c r="AC16" s="165">
        <f t="shared" si="0"/>
        <v>95</v>
      </c>
      <c r="AD16" s="166">
        <f t="shared" si="1"/>
        <v>-77</v>
      </c>
      <c r="AE16" s="159">
        <v>128</v>
      </c>
      <c r="AF16" s="167">
        <f t="shared" si="16"/>
        <v>0.98177083333333337</v>
      </c>
      <c r="AG16" s="168">
        <f t="shared" si="3"/>
        <v>145.08333333333334</v>
      </c>
      <c r="AH16" s="167">
        <f t="shared" si="17"/>
        <v>0.83888569787478462</v>
      </c>
      <c r="AI16" s="169">
        <f>IF(U16&gt;0,(1440-((W16*X16)+(Y16*Z16)+(AA16*AB16))/(W16+Y16+AA16))/1440,"no data")</f>
        <v>1</v>
      </c>
      <c r="AJ16" s="170">
        <f t="shared" si="6"/>
        <v>0.88652482269503552</v>
      </c>
      <c r="AK16" s="366">
        <v>8.8829999999999991</v>
      </c>
      <c r="AL16" s="367">
        <v>214.78</v>
      </c>
      <c r="AM16" s="368">
        <f t="shared" si="7"/>
        <v>1907.8907399999998</v>
      </c>
      <c r="AN16" s="366">
        <v>24.093060000000001</v>
      </c>
      <c r="AO16" s="369">
        <v>981.05471036057679</v>
      </c>
      <c r="AP16" s="172">
        <f t="shared" si="8"/>
        <v>23636.61</v>
      </c>
      <c r="AQ16" s="202">
        <f t="shared" si="9"/>
        <v>8745.1217870592263</v>
      </c>
      <c r="AR16" s="340">
        <f t="shared" si="10"/>
        <v>124.91666666666667</v>
      </c>
      <c r="AS16" s="13"/>
      <c r="AT16" s="159">
        <v>0</v>
      </c>
      <c r="AU16" s="159">
        <v>0</v>
      </c>
      <c r="AV16" s="159">
        <v>0</v>
      </c>
      <c r="AW16" s="159">
        <v>0</v>
      </c>
      <c r="AX16" s="159">
        <v>16</v>
      </c>
      <c r="AY16" s="159">
        <v>1440</v>
      </c>
      <c r="AZ16" s="159">
        <v>0</v>
      </c>
      <c r="BA16" s="332"/>
      <c r="BB16" s="175">
        <v>991</v>
      </c>
      <c r="BC16" s="175">
        <v>1036</v>
      </c>
      <c r="BD16" s="159">
        <v>989</v>
      </c>
      <c r="BE16" s="175">
        <f t="shared" si="15"/>
        <v>45</v>
      </c>
      <c r="BF16" s="177">
        <f t="shared" si="12"/>
        <v>8745.1217870592263</v>
      </c>
      <c r="BG16" s="177">
        <f t="shared" si="13"/>
        <v>41.208333333333336</v>
      </c>
      <c r="BH16" s="178">
        <v>0</v>
      </c>
      <c r="BI16" s="156">
        <v>0</v>
      </c>
      <c r="BJ16" s="177">
        <v>29</v>
      </c>
      <c r="BK16" s="175">
        <v>25.74</v>
      </c>
      <c r="BL16" s="175">
        <v>22.65</v>
      </c>
      <c r="BM16" s="175">
        <v>27.9</v>
      </c>
      <c r="BN16" s="179">
        <v>990</v>
      </c>
      <c r="BO16" s="179">
        <v>50.12</v>
      </c>
      <c r="BP16" s="185">
        <v>0.93359999999999999</v>
      </c>
      <c r="BQ16" s="177">
        <v>96.75</v>
      </c>
      <c r="BR16" s="177">
        <v>87.11</v>
      </c>
      <c r="BS16" s="175">
        <v>12184</v>
      </c>
      <c r="BT16" s="175">
        <v>12365</v>
      </c>
      <c r="BU16" s="51">
        <f t="shared" si="14"/>
        <v>181</v>
      </c>
      <c r="BV16" s="353">
        <f t="shared" si="18"/>
        <v>0</v>
      </c>
      <c r="BW16" s="177">
        <v>0</v>
      </c>
      <c r="BX16" s="177">
        <v>0</v>
      </c>
      <c r="BZ16" s="177">
        <v>24</v>
      </c>
      <c r="CA16" s="177">
        <v>8.5</v>
      </c>
      <c r="CC16" s="177">
        <v>2.1</v>
      </c>
      <c r="CD16" s="177">
        <v>5</v>
      </c>
      <c r="CE16" s="177">
        <v>2.1</v>
      </c>
      <c r="CF16" s="177">
        <v>0</v>
      </c>
    </row>
    <row r="17" spans="1:84">
      <c r="A17" s="452"/>
      <c r="B17" s="24">
        <v>43351</v>
      </c>
      <c r="C17" s="157">
        <v>90.6</v>
      </c>
      <c r="D17" s="197">
        <v>0.68120000000000003</v>
      </c>
      <c r="E17" s="157">
        <v>78.8</v>
      </c>
      <c r="F17" s="159">
        <v>99</v>
      </c>
      <c r="G17" s="159">
        <v>82</v>
      </c>
      <c r="H17" s="159">
        <v>24</v>
      </c>
      <c r="I17" s="159">
        <v>0</v>
      </c>
      <c r="J17" s="159">
        <v>24</v>
      </c>
      <c r="K17" s="159">
        <v>0</v>
      </c>
      <c r="L17" s="161">
        <v>0</v>
      </c>
      <c r="M17" s="161">
        <v>0</v>
      </c>
      <c r="N17" s="161">
        <v>0</v>
      </c>
      <c r="O17" s="161">
        <v>0</v>
      </c>
      <c r="P17" s="161">
        <v>0</v>
      </c>
      <c r="Q17" s="262">
        <v>0</v>
      </c>
      <c r="R17" s="159">
        <v>3493</v>
      </c>
      <c r="S17" s="159">
        <v>2965</v>
      </c>
      <c r="T17" s="159">
        <v>2965</v>
      </c>
      <c r="U17" s="159">
        <v>2892</v>
      </c>
      <c r="V17" s="159">
        <v>2990</v>
      </c>
      <c r="W17" s="159">
        <v>41</v>
      </c>
      <c r="X17" s="159">
        <v>0</v>
      </c>
      <c r="Y17" s="159">
        <v>43</v>
      </c>
      <c r="Z17" s="161">
        <v>0</v>
      </c>
      <c r="AA17" s="161">
        <v>57</v>
      </c>
      <c r="AB17" s="161">
        <v>0</v>
      </c>
      <c r="AC17" s="165">
        <f t="shared" si="0"/>
        <v>98</v>
      </c>
      <c r="AD17" s="166">
        <f t="shared" si="1"/>
        <v>-73</v>
      </c>
      <c r="AE17" s="159">
        <v>128</v>
      </c>
      <c r="AF17" s="167">
        <f t="shared" si="16"/>
        <v>0.97330729166666663</v>
      </c>
      <c r="AG17" s="168">
        <f t="shared" si="3"/>
        <v>145.54166666666666</v>
      </c>
      <c r="AH17" s="167">
        <f t="shared" si="17"/>
        <v>0.82794159748067564</v>
      </c>
      <c r="AI17" s="169">
        <f t="shared" ref="AI17:AI39" si="19">IF(U17&gt;0,(1440-((W17*X17)+(Y17*Z17)+(AA17*AB17))/(W17+Y17+AA17))/1440,"no data")</f>
        <v>1</v>
      </c>
      <c r="AJ17" s="170">
        <f t="shared" si="6"/>
        <v>0.88652482269503552</v>
      </c>
      <c r="AK17" s="366">
        <v>8.8059999999999992</v>
      </c>
      <c r="AL17" s="367">
        <v>208.65</v>
      </c>
      <c r="AM17" s="368">
        <f t="shared" si="7"/>
        <v>1837.3718999999999</v>
      </c>
      <c r="AN17" s="366">
        <v>23.736999999999998</v>
      </c>
      <c r="AO17" s="369">
        <v>984.9345915770291</v>
      </c>
      <c r="AP17" s="172">
        <f t="shared" si="8"/>
        <v>23379.39240026394</v>
      </c>
      <c r="AQ17" s="202">
        <f t="shared" si="9"/>
        <v>8719.4897303817215</v>
      </c>
      <c r="AR17" s="340">
        <f t="shared" si="10"/>
        <v>123.54166666666667</v>
      </c>
      <c r="AS17" s="13"/>
      <c r="AT17" s="159">
        <v>0</v>
      </c>
      <c r="AU17" s="159">
        <v>0</v>
      </c>
      <c r="AV17" s="159">
        <v>0</v>
      </c>
      <c r="AW17" s="159">
        <v>0</v>
      </c>
      <c r="AX17" s="159">
        <v>16</v>
      </c>
      <c r="AY17" s="159">
        <v>1440</v>
      </c>
      <c r="AZ17" s="159">
        <v>0</v>
      </c>
      <c r="BA17" s="332"/>
      <c r="BB17" s="175">
        <v>982</v>
      </c>
      <c r="BC17" s="175">
        <v>1027</v>
      </c>
      <c r="BD17" s="159">
        <v>981</v>
      </c>
      <c r="BE17" s="175">
        <f t="shared" si="15"/>
        <v>45</v>
      </c>
      <c r="BF17" s="177">
        <f t="shared" si="12"/>
        <v>8719.4897303817215</v>
      </c>
      <c r="BG17" s="177">
        <f t="shared" si="13"/>
        <v>40.875</v>
      </c>
      <c r="BH17" s="178">
        <v>0</v>
      </c>
      <c r="BI17" s="156">
        <v>0</v>
      </c>
      <c r="BJ17" s="177">
        <v>29</v>
      </c>
      <c r="BK17" s="175">
        <v>25.5</v>
      </c>
      <c r="BL17" s="175">
        <v>22.43</v>
      </c>
      <c r="BM17" s="175">
        <v>27.83</v>
      </c>
      <c r="BN17" s="186">
        <v>991</v>
      </c>
      <c r="BO17" s="179">
        <v>50.08</v>
      </c>
      <c r="BP17" s="185">
        <v>0.93169999999999997</v>
      </c>
      <c r="BQ17" s="177">
        <v>97.15</v>
      </c>
      <c r="BR17" s="186">
        <v>87.26</v>
      </c>
      <c r="BS17" s="175">
        <v>12187</v>
      </c>
      <c r="BT17" s="175">
        <v>12413</v>
      </c>
      <c r="BU17" s="51">
        <f t="shared" si="14"/>
        <v>226</v>
      </c>
      <c r="BV17" s="353">
        <f t="shared" si="18"/>
        <v>0</v>
      </c>
      <c r="BW17" s="177">
        <v>0</v>
      </c>
      <c r="BX17" s="177">
        <v>0</v>
      </c>
      <c r="BZ17" s="177">
        <v>24</v>
      </c>
      <c r="CA17" s="177">
        <v>7.1</v>
      </c>
      <c r="CC17" s="177">
        <v>2.1</v>
      </c>
      <c r="CD17" s="177">
        <v>5</v>
      </c>
      <c r="CE17" s="177">
        <v>2</v>
      </c>
      <c r="CF17" s="177">
        <v>0</v>
      </c>
    </row>
    <row r="18" spans="1:84">
      <c r="A18" s="453"/>
      <c r="B18" s="24">
        <v>43352</v>
      </c>
      <c r="C18" s="157">
        <v>90.4</v>
      </c>
      <c r="D18" s="197">
        <v>0.7</v>
      </c>
      <c r="E18" s="157">
        <v>80</v>
      </c>
      <c r="F18" s="159">
        <v>98</v>
      </c>
      <c r="G18" s="159">
        <v>84</v>
      </c>
      <c r="H18" s="159">
        <v>24</v>
      </c>
      <c r="I18" s="159">
        <v>0</v>
      </c>
      <c r="J18" s="159">
        <v>24</v>
      </c>
      <c r="K18" s="159">
        <v>0</v>
      </c>
      <c r="L18" s="159">
        <v>0</v>
      </c>
      <c r="M18" s="159">
        <v>0</v>
      </c>
      <c r="N18" s="187">
        <v>0</v>
      </c>
      <c r="O18" s="187">
        <v>0</v>
      </c>
      <c r="P18" s="187">
        <v>0</v>
      </c>
      <c r="Q18" s="262">
        <v>0</v>
      </c>
      <c r="R18" s="159">
        <v>3494</v>
      </c>
      <c r="S18" s="159">
        <v>2962</v>
      </c>
      <c r="T18" s="159">
        <v>2962</v>
      </c>
      <c r="U18" s="159">
        <v>2893</v>
      </c>
      <c r="V18" s="159">
        <v>2990</v>
      </c>
      <c r="W18" s="159">
        <v>41</v>
      </c>
      <c r="X18" s="159">
        <v>0</v>
      </c>
      <c r="Y18" s="159">
        <v>43</v>
      </c>
      <c r="Z18" s="159">
        <v>0</v>
      </c>
      <c r="AA18" s="159">
        <v>57</v>
      </c>
      <c r="AB18" s="187">
        <v>0</v>
      </c>
      <c r="AC18" s="165">
        <f t="shared" si="0"/>
        <v>97</v>
      </c>
      <c r="AD18" s="166">
        <f t="shared" si="1"/>
        <v>-69</v>
      </c>
      <c r="AE18" s="159">
        <v>126</v>
      </c>
      <c r="AF18" s="167">
        <f t="shared" si="16"/>
        <v>0.98875661375661372</v>
      </c>
      <c r="AG18" s="168">
        <f t="shared" si="3"/>
        <v>145.58333333333334</v>
      </c>
      <c r="AH18" s="167">
        <f>IF(U18&gt;0,(U18/R18),"no data")</f>
        <v>0.82799084144247281</v>
      </c>
      <c r="AI18" s="169">
        <f t="shared" si="19"/>
        <v>1</v>
      </c>
      <c r="AJ18" s="170">
        <f t="shared" si="6"/>
        <v>0.88652482269503552</v>
      </c>
      <c r="AK18" s="366">
        <v>8.7799999999999994</v>
      </c>
      <c r="AL18" s="367">
        <v>205.1</v>
      </c>
      <c r="AM18" s="368">
        <f t="shared" si="7"/>
        <v>1800.7779999999998</v>
      </c>
      <c r="AN18" s="366">
        <v>23.79926</v>
      </c>
      <c r="AO18" s="369">
        <v>987.9538271358017</v>
      </c>
      <c r="AP18" s="172">
        <f t="shared" si="8"/>
        <v>23512.57</v>
      </c>
      <c r="AQ18" s="202">
        <f t="shared" si="9"/>
        <v>8749.8610438990654</v>
      </c>
      <c r="AR18" s="340">
        <f t="shared" si="10"/>
        <v>123.41666666666667</v>
      </c>
      <c r="AS18" s="13"/>
      <c r="AT18" s="159">
        <v>0</v>
      </c>
      <c r="AU18" s="159">
        <v>0</v>
      </c>
      <c r="AV18" s="159">
        <v>0</v>
      </c>
      <c r="AW18" s="159">
        <v>0</v>
      </c>
      <c r="AX18" s="174">
        <v>16</v>
      </c>
      <c r="AY18" s="159">
        <v>1440</v>
      </c>
      <c r="AZ18" s="159">
        <v>0</v>
      </c>
      <c r="BA18" s="332"/>
      <c r="BB18" s="175">
        <v>981</v>
      </c>
      <c r="BC18" s="175">
        <v>1026</v>
      </c>
      <c r="BD18" s="159">
        <v>983</v>
      </c>
      <c r="BE18" s="175">
        <f t="shared" si="15"/>
        <v>45</v>
      </c>
      <c r="BF18" s="177">
        <f t="shared" si="12"/>
        <v>8749.8610438990654</v>
      </c>
      <c r="BG18" s="177">
        <f t="shared" si="13"/>
        <v>40.958333333333336</v>
      </c>
      <c r="BH18" s="178">
        <v>0</v>
      </c>
      <c r="BI18" s="156">
        <v>0</v>
      </c>
      <c r="BJ18" s="177">
        <v>29.15</v>
      </c>
      <c r="BK18" s="175">
        <v>25.36</v>
      </c>
      <c r="BL18" s="175">
        <v>22.34</v>
      </c>
      <c r="BM18" s="175">
        <v>27.62</v>
      </c>
      <c r="BN18" s="186">
        <v>991.79</v>
      </c>
      <c r="BO18" s="179">
        <v>50.13</v>
      </c>
      <c r="BP18" s="180">
        <v>0.93120000000000003</v>
      </c>
      <c r="BQ18" s="186">
        <v>97.15</v>
      </c>
      <c r="BR18" s="186">
        <v>87.32</v>
      </c>
      <c r="BS18" s="175">
        <v>12134</v>
      </c>
      <c r="BT18" s="175">
        <v>12354</v>
      </c>
      <c r="BU18" s="51">
        <f t="shared" si="14"/>
        <v>220</v>
      </c>
      <c r="BV18" s="353">
        <f t="shared" si="18"/>
        <v>0</v>
      </c>
      <c r="BW18" s="177">
        <v>0</v>
      </c>
      <c r="BX18" s="177">
        <v>0</v>
      </c>
      <c r="BZ18" s="177">
        <v>24</v>
      </c>
      <c r="CA18" s="177">
        <v>7.58</v>
      </c>
      <c r="CC18" s="177">
        <v>2.1</v>
      </c>
      <c r="CD18" s="177">
        <v>5</v>
      </c>
      <c r="CE18" s="177">
        <v>2.1</v>
      </c>
      <c r="CF18" s="177">
        <v>0</v>
      </c>
    </row>
    <row r="19" spans="1:84" ht="15" customHeight="1">
      <c r="A19" s="451" t="s">
        <v>275</v>
      </c>
      <c r="B19" s="24">
        <v>43353</v>
      </c>
      <c r="C19" s="25">
        <v>90.8</v>
      </c>
      <c r="D19" s="26">
        <v>0.66900000000000004</v>
      </c>
      <c r="E19" s="25">
        <v>78.5</v>
      </c>
      <c r="F19" s="27">
        <v>99</v>
      </c>
      <c r="G19" s="27">
        <v>81</v>
      </c>
      <c r="H19" s="27">
        <v>24</v>
      </c>
      <c r="I19" s="27">
        <v>0</v>
      </c>
      <c r="J19" s="27">
        <v>24</v>
      </c>
      <c r="K19" s="27">
        <v>0</v>
      </c>
      <c r="L19" s="27">
        <v>0</v>
      </c>
      <c r="M19" s="27">
        <v>0</v>
      </c>
      <c r="N19" s="29">
        <v>0</v>
      </c>
      <c r="O19" s="29">
        <v>0</v>
      </c>
      <c r="P19" s="29">
        <v>0</v>
      </c>
      <c r="Q19" s="27">
        <v>0</v>
      </c>
      <c r="R19" s="251">
        <v>3493</v>
      </c>
      <c r="S19" s="253">
        <v>2974</v>
      </c>
      <c r="T19" s="27">
        <v>2974</v>
      </c>
      <c r="U19" s="27">
        <v>2904</v>
      </c>
      <c r="V19" s="27">
        <v>3000</v>
      </c>
      <c r="W19" s="27">
        <v>41</v>
      </c>
      <c r="X19" s="27">
        <v>0</v>
      </c>
      <c r="Y19" s="27">
        <v>43</v>
      </c>
      <c r="Z19" s="27">
        <v>0</v>
      </c>
      <c r="AA19" s="27">
        <v>57</v>
      </c>
      <c r="AB19" s="29">
        <v>0</v>
      </c>
      <c r="AC19" s="32">
        <f t="shared" si="0"/>
        <v>96</v>
      </c>
      <c r="AD19" s="33">
        <f t="shared" si="1"/>
        <v>-70</v>
      </c>
      <c r="AE19" s="27">
        <v>126</v>
      </c>
      <c r="AF19" s="34">
        <f t="shared" si="16"/>
        <v>0.99206349206349209</v>
      </c>
      <c r="AG19" s="35">
        <f t="shared" si="3"/>
        <v>145.54166666666666</v>
      </c>
      <c r="AH19" s="34">
        <f t="shared" si="17"/>
        <v>0.83137703979387345</v>
      </c>
      <c r="AI19" s="226">
        <f t="shared" si="19"/>
        <v>1</v>
      </c>
      <c r="AJ19" s="37">
        <f t="shared" si="6"/>
        <v>0.88652482269503552</v>
      </c>
      <c r="AK19" s="255">
        <v>8.7309999999999999</v>
      </c>
      <c r="AL19" s="256">
        <v>204.6</v>
      </c>
      <c r="AM19" s="38">
        <f t="shared" si="7"/>
        <v>1786.3625999999999</v>
      </c>
      <c r="AN19" s="255">
        <v>23.820430000000002</v>
      </c>
      <c r="AO19" s="320">
        <v>990.19916936847903</v>
      </c>
      <c r="AP19" s="39">
        <f t="shared" si="8"/>
        <v>23586.97</v>
      </c>
      <c r="AQ19" s="201">
        <f t="shared" si="9"/>
        <v>8737.3734848484855</v>
      </c>
      <c r="AR19" s="229">
        <f t="shared" si="10"/>
        <v>123.91666666666667</v>
      </c>
      <c r="AS19" s="13"/>
      <c r="AT19" s="27">
        <v>0</v>
      </c>
      <c r="AU19" s="40">
        <v>0</v>
      </c>
      <c r="AV19" s="40">
        <v>0</v>
      </c>
      <c r="AW19" s="27">
        <v>0</v>
      </c>
      <c r="AX19" s="40">
        <v>16</v>
      </c>
      <c r="AY19" s="27">
        <v>1440</v>
      </c>
      <c r="AZ19" s="27">
        <v>0</v>
      </c>
      <c r="BA19" s="332"/>
      <c r="BB19" s="52">
        <v>984</v>
      </c>
      <c r="BC19" s="52">
        <v>1028</v>
      </c>
      <c r="BD19" s="52">
        <v>988</v>
      </c>
      <c r="BE19" s="41">
        <f t="shared" si="15"/>
        <v>44</v>
      </c>
      <c r="BF19" s="41">
        <f t="shared" si="12"/>
        <v>8737.3734848484855</v>
      </c>
      <c r="BG19" s="60">
        <f t="shared" si="13"/>
        <v>41.166666666666664</v>
      </c>
      <c r="BH19" s="61">
        <v>0</v>
      </c>
      <c r="BI19" s="62">
        <v>0</v>
      </c>
      <c r="BJ19" s="42">
        <v>29.1</v>
      </c>
      <c r="BK19" s="41">
        <v>25.38</v>
      </c>
      <c r="BL19" s="41">
        <v>21.53</v>
      </c>
      <c r="BM19" s="41">
        <v>28.22</v>
      </c>
      <c r="BN19" s="54">
        <v>993.5</v>
      </c>
      <c r="BO19" s="63">
        <v>50.09</v>
      </c>
      <c r="BP19" s="64">
        <v>0.93269999999999997</v>
      </c>
      <c r="BQ19" s="42">
        <v>96.99</v>
      </c>
      <c r="BR19" s="42">
        <v>87.22</v>
      </c>
      <c r="BS19" s="41">
        <v>12100</v>
      </c>
      <c r="BT19" s="41">
        <v>12022</v>
      </c>
      <c r="BU19" s="51">
        <f t="shared" si="14"/>
        <v>-78</v>
      </c>
      <c r="BV19" s="41">
        <f t="shared" si="18"/>
        <v>0</v>
      </c>
      <c r="BW19" s="42">
        <v>0</v>
      </c>
      <c r="BX19" s="42">
        <v>0</v>
      </c>
      <c r="BZ19" s="42">
        <v>24</v>
      </c>
      <c r="CA19" s="42">
        <v>6.65</v>
      </c>
      <c r="CC19" s="177">
        <v>2.1</v>
      </c>
      <c r="CD19" s="177">
        <v>5</v>
      </c>
      <c r="CE19" s="177">
        <v>2</v>
      </c>
      <c r="CF19" s="177">
        <v>0</v>
      </c>
    </row>
    <row r="20" spans="1:84">
      <c r="A20" s="452"/>
      <c r="B20" s="24">
        <v>43354</v>
      </c>
      <c r="C20" s="25">
        <v>92.1</v>
      </c>
      <c r="D20" s="26">
        <v>0.65200000000000002</v>
      </c>
      <c r="E20" s="25">
        <v>79</v>
      </c>
      <c r="F20" s="27">
        <v>103</v>
      </c>
      <c r="G20" s="27">
        <v>83</v>
      </c>
      <c r="H20" s="27">
        <v>24</v>
      </c>
      <c r="I20" s="27">
        <v>0</v>
      </c>
      <c r="J20" s="27">
        <v>24</v>
      </c>
      <c r="K20" s="27">
        <v>0</v>
      </c>
      <c r="L20" s="29">
        <v>0</v>
      </c>
      <c r="M20" s="29">
        <v>0</v>
      </c>
      <c r="N20" s="29">
        <v>0</v>
      </c>
      <c r="O20" s="29">
        <v>0</v>
      </c>
      <c r="P20" s="29">
        <v>0</v>
      </c>
      <c r="Q20" s="27">
        <v>0</v>
      </c>
      <c r="R20" s="252">
        <v>3477</v>
      </c>
      <c r="S20" s="253">
        <v>2966</v>
      </c>
      <c r="T20" s="27">
        <v>2966</v>
      </c>
      <c r="U20" s="27">
        <v>2897</v>
      </c>
      <c r="V20" s="27">
        <v>2996</v>
      </c>
      <c r="W20" s="27">
        <v>41</v>
      </c>
      <c r="X20" s="27">
        <v>0</v>
      </c>
      <c r="Y20" s="27">
        <v>43</v>
      </c>
      <c r="Z20" s="29">
        <v>0</v>
      </c>
      <c r="AA20" s="29">
        <v>57</v>
      </c>
      <c r="AB20" s="29">
        <v>0</v>
      </c>
      <c r="AC20" s="32">
        <f t="shared" si="0"/>
        <v>99</v>
      </c>
      <c r="AD20" s="33">
        <f t="shared" si="1"/>
        <v>-69</v>
      </c>
      <c r="AE20" s="27">
        <v>127</v>
      </c>
      <c r="AF20" s="34">
        <f t="shared" si="16"/>
        <v>0.98293963254593175</v>
      </c>
      <c r="AG20" s="35">
        <f t="shared" si="3"/>
        <v>144.875</v>
      </c>
      <c r="AH20" s="34">
        <f t="shared" si="17"/>
        <v>0.83318953120506178</v>
      </c>
      <c r="AI20" s="226">
        <f t="shared" si="19"/>
        <v>1</v>
      </c>
      <c r="AJ20" s="37">
        <f t="shared" si="6"/>
        <v>0.88652482269503552</v>
      </c>
      <c r="AK20" s="255">
        <v>8.7479999999999993</v>
      </c>
      <c r="AL20" s="256">
        <v>202.56</v>
      </c>
      <c r="AM20" s="38">
        <f t="shared" si="7"/>
        <v>1771.99488</v>
      </c>
      <c r="AN20" s="255">
        <v>23.846850000000003</v>
      </c>
      <c r="AO20" s="320">
        <v>988.5376894642269</v>
      </c>
      <c r="AP20" s="39">
        <f t="shared" si="8"/>
        <v>23573.510000000002</v>
      </c>
      <c r="AQ20" s="201">
        <f t="shared" si="9"/>
        <v>8748.8798343113576</v>
      </c>
      <c r="AR20" s="229">
        <f t="shared" si="10"/>
        <v>123.58333333333333</v>
      </c>
      <c r="AS20" s="13"/>
      <c r="AT20" s="27">
        <v>0</v>
      </c>
      <c r="AU20" s="40">
        <v>0</v>
      </c>
      <c r="AV20" s="40">
        <v>0</v>
      </c>
      <c r="AW20" s="40">
        <v>0</v>
      </c>
      <c r="AX20" s="40">
        <v>16</v>
      </c>
      <c r="AY20" s="40">
        <v>1440</v>
      </c>
      <c r="AZ20" s="27">
        <v>0</v>
      </c>
      <c r="BA20" s="332"/>
      <c r="BB20" s="52">
        <v>982</v>
      </c>
      <c r="BC20" s="52">
        <v>1028</v>
      </c>
      <c r="BD20" s="52">
        <v>986</v>
      </c>
      <c r="BE20" s="41">
        <f t="shared" si="15"/>
        <v>46</v>
      </c>
      <c r="BF20" s="41">
        <f t="shared" si="12"/>
        <v>8748.8798343113576</v>
      </c>
      <c r="BG20" s="60">
        <f t="shared" si="13"/>
        <v>41.083333333333336</v>
      </c>
      <c r="BH20" s="43">
        <v>0</v>
      </c>
      <c r="BI20" s="44">
        <v>0</v>
      </c>
      <c r="BJ20" s="45">
        <v>28.95</v>
      </c>
      <c r="BK20" s="47">
        <v>25.4</v>
      </c>
      <c r="BL20" s="47">
        <v>20.23</v>
      </c>
      <c r="BM20" s="47">
        <v>28.88</v>
      </c>
      <c r="BN20" s="45">
        <v>991.79</v>
      </c>
      <c r="BO20" s="45">
        <v>50.13</v>
      </c>
      <c r="BP20" s="48">
        <v>0.93059999999999998</v>
      </c>
      <c r="BQ20" s="42">
        <v>96.85</v>
      </c>
      <c r="BR20" s="42">
        <v>87.24</v>
      </c>
      <c r="BS20" s="41">
        <v>12150</v>
      </c>
      <c r="BT20" s="41">
        <v>11564</v>
      </c>
      <c r="BU20" s="51">
        <f t="shared" si="14"/>
        <v>-586</v>
      </c>
      <c r="BV20" s="41">
        <f t="shared" si="18"/>
        <v>0</v>
      </c>
      <c r="BW20" s="42">
        <v>0</v>
      </c>
      <c r="BX20" s="42">
        <v>0</v>
      </c>
      <c r="BZ20" s="42">
        <v>24</v>
      </c>
      <c r="CA20" s="42">
        <v>6.55</v>
      </c>
      <c r="CC20" s="42">
        <v>2.1</v>
      </c>
      <c r="CD20" s="42">
        <v>5</v>
      </c>
      <c r="CE20" s="42">
        <v>2.1</v>
      </c>
      <c r="CF20" s="42">
        <v>0</v>
      </c>
    </row>
    <row r="21" spans="1:84">
      <c r="A21" s="452"/>
      <c r="B21" s="24">
        <v>43355</v>
      </c>
      <c r="C21" s="25">
        <v>90.31</v>
      </c>
      <c r="D21" s="26">
        <v>0.67269999999999996</v>
      </c>
      <c r="E21" s="25">
        <v>77.72</v>
      </c>
      <c r="F21" s="27">
        <v>98</v>
      </c>
      <c r="G21" s="27">
        <v>85</v>
      </c>
      <c r="H21" s="27">
        <v>24</v>
      </c>
      <c r="I21" s="27">
        <v>0</v>
      </c>
      <c r="J21" s="27">
        <v>24</v>
      </c>
      <c r="K21" s="27">
        <v>0</v>
      </c>
      <c r="L21" s="29">
        <v>0</v>
      </c>
      <c r="M21" s="29">
        <v>0</v>
      </c>
      <c r="N21" s="29">
        <v>0</v>
      </c>
      <c r="O21" s="29">
        <v>0</v>
      </c>
      <c r="P21" s="29">
        <v>0</v>
      </c>
      <c r="Q21" s="27">
        <v>0</v>
      </c>
      <c r="R21" s="252">
        <v>3494</v>
      </c>
      <c r="S21" s="253">
        <v>2982</v>
      </c>
      <c r="T21" s="253">
        <v>2982</v>
      </c>
      <c r="U21" s="253">
        <v>2911</v>
      </c>
      <c r="V21" s="253">
        <v>3006</v>
      </c>
      <c r="W21" s="27">
        <v>41</v>
      </c>
      <c r="X21" s="27">
        <v>0</v>
      </c>
      <c r="Y21" s="27">
        <v>43</v>
      </c>
      <c r="Z21" s="29">
        <v>0</v>
      </c>
      <c r="AA21" s="29">
        <v>57</v>
      </c>
      <c r="AB21" s="29">
        <v>0</v>
      </c>
      <c r="AC21" s="32">
        <f t="shared" si="0"/>
        <v>95</v>
      </c>
      <c r="AD21" s="33">
        <f t="shared" si="1"/>
        <v>-71</v>
      </c>
      <c r="AE21" s="27">
        <v>127</v>
      </c>
      <c r="AF21" s="34">
        <f t="shared" si="16"/>
        <v>0.98622047244094491</v>
      </c>
      <c r="AG21" s="35">
        <f t="shared" si="3"/>
        <v>145.58333333333334</v>
      </c>
      <c r="AH21" s="34">
        <f>IF(U21&gt;0,(U21/R21),"no data")</f>
        <v>0.83314253005151684</v>
      </c>
      <c r="AI21" s="226">
        <f t="shared" si="19"/>
        <v>1</v>
      </c>
      <c r="AJ21" s="37">
        <f t="shared" si="6"/>
        <v>0.88652482269503552</v>
      </c>
      <c r="AK21" s="255">
        <v>8.609</v>
      </c>
      <c r="AL21" s="256">
        <v>200.99</v>
      </c>
      <c r="AM21" s="38">
        <f t="shared" si="7"/>
        <v>1730.3229100000001</v>
      </c>
      <c r="AN21" s="255">
        <v>23.891909999999999</v>
      </c>
      <c r="AO21" s="320">
        <v>989.0008793771616</v>
      </c>
      <c r="AP21" s="39">
        <f t="shared" si="8"/>
        <v>23629.119999999999</v>
      </c>
      <c r="AQ21" s="201">
        <f t="shared" si="9"/>
        <v>8711.5915183785637</v>
      </c>
      <c r="AR21" s="229">
        <f t="shared" si="10"/>
        <v>124.25</v>
      </c>
      <c r="AS21" s="13"/>
      <c r="AT21" s="27">
        <v>0</v>
      </c>
      <c r="AU21" s="40">
        <v>0</v>
      </c>
      <c r="AV21" s="40">
        <v>0</v>
      </c>
      <c r="AW21" s="27">
        <v>0</v>
      </c>
      <c r="AX21" s="40">
        <v>16</v>
      </c>
      <c r="AY21" s="27">
        <v>1440</v>
      </c>
      <c r="AZ21" s="27">
        <v>0</v>
      </c>
      <c r="BA21" s="332"/>
      <c r="BB21" s="52">
        <v>985</v>
      </c>
      <c r="BC21" s="52">
        <v>1031</v>
      </c>
      <c r="BD21" s="52">
        <v>990</v>
      </c>
      <c r="BE21" s="41">
        <f t="shared" si="15"/>
        <v>46</v>
      </c>
      <c r="BF21" s="41">
        <f t="shared" si="12"/>
        <v>8711.5915183785637</v>
      </c>
      <c r="BG21" s="60">
        <f t="shared" si="13"/>
        <v>41.25</v>
      </c>
      <c r="BH21" s="43">
        <v>0</v>
      </c>
      <c r="BI21" s="44">
        <v>0</v>
      </c>
      <c r="BJ21" s="45">
        <v>29.17</v>
      </c>
      <c r="BK21" s="45">
        <v>25.41</v>
      </c>
      <c r="BL21" s="47">
        <v>20.25</v>
      </c>
      <c r="BM21" s="47">
        <v>28.62</v>
      </c>
      <c r="BN21" s="45">
        <v>989.38</v>
      </c>
      <c r="BO21" s="45">
        <v>50.13</v>
      </c>
      <c r="BP21" s="48">
        <v>0.93079999999999996</v>
      </c>
      <c r="BQ21" s="42">
        <v>96.9</v>
      </c>
      <c r="BR21" s="42">
        <v>87.17</v>
      </c>
      <c r="BS21" s="41">
        <v>12100</v>
      </c>
      <c r="BT21" s="41">
        <v>11496</v>
      </c>
      <c r="BU21" s="51">
        <f t="shared" si="14"/>
        <v>-604</v>
      </c>
      <c r="BV21" s="41">
        <f t="shared" si="18"/>
        <v>0</v>
      </c>
      <c r="BW21" s="42">
        <v>0</v>
      </c>
      <c r="BX21" s="42">
        <v>0</v>
      </c>
      <c r="BZ21" s="42">
        <v>24</v>
      </c>
      <c r="CA21" s="42">
        <v>7.42</v>
      </c>
      <c r="CC21" s="42">
        <v>2.1</v>
      </c>
      <c r="CD21" s="42">
        <v>5</v>
      </c>
      <c r="CE21" s="42">
        <v>2</v>
      </c>
      <c r="CF21" s="42">
        <v>0</v>
      </c>
    </row>
    <row r="22" spans="1:84">
      <c r="A22" s="452"/>
      <c r="B22" s="24">
        <v>43356</v>
      </c>
      <c r="C22" s="25">
        <v>88.74</v>
      </c>
      <c r="D22" s="26">
        <v>0.66459999999999997</v>
      </c>
      <c r="E22" s="38">
        <v>76.05</v>
      </c>
      <c r="F22" s="27">
        <v>97</v>
      </c>
      <c r="G22" s="27">
        <v>83</v>
      </c>
      <c r="H22" s="27">
        <v>24</v>
      </c>
      <c r="I22" s="27">
        <v>0</v>
      </c>
      <c r="J22" s="27">
        <v>24</v>
      </c>
      <c r="K22" s="27">
        <v>0</v>
      </c>
      <c r="L22" s="29">
        <v>0</v>
      </c>
      <c r="M22" s="29">
        <v>0</v>
      </c>
      <c r="N22" s="29">
        <v>0</v>
      </c>
      <c r="O22" s="29">
        <v>0</v>
      </c>
      <c r="P22" s="29">
        <v>0</v>
      </c>
      <c r="Q22" s="27">
        <v>0</v>
      </c>
      <c r="R22" s="252">
        <v>3514</v>
      </c>
      <c r="S22" s="253">
        <v>2999</v>
      </c>
      <c r="T22" s="27">
        <v>2999</v>
      </c>
      <c r="U22" s="27">
        <v>2924</v>
      </c>
      <c r="V22" s="27">
        <v>3023</v>
      </c>
      <c r="W22" s="27">
        <v>41</v>
      </c>
      <c r="X22" s="27">
        <v>0</v>
      </c>
      <c r="Y22" s="27">
        <v>43</v>
      </c>
      <c r="Z22" s="29">
        <v>0</v>
      </c>
      <c r="AA22" s="29">
        <v>57</v>
      </c>
      <c r="AB22" s="29">
        <v>0</v>
      </c>
      <c r="AC22" s="32">
        <f t="shared" si="0"/>
        <v>99</v>
      </c>
      <c r="AD22" s="33">
        <f t="shared" si="1"/>
        <v>-75</v>
      </c>
      <c r="AE22" s="27">
        <v>128</v>
      </c>
      <c r="AF22" s="34">
        <f t="shared" si="16"/>
        <v>0.98404947916666663</v>
      </c>
      <c r="AG22" s="35">
        <f t="shared" si="3"/>
        <v>146.41666666666666</v>
      </c>
      <c r="AH22" s="34">
        <f t="shared" si="17"/>
        <v>0.83210017074558906</v>
      </c>
      <c r="AI22" s="226">
        <f t="shared" si="19"/>
        <v>1</v>
      </c>
      <c r="AJ22" s="37">
        <f t="shared" si="6"/>
        <v>0.88652482269503552</v>
      </c>
      <c r="AK22" s="255">
        <v>8.6180000000000003</v>
      </c>
      <c r="AL22" s="256">
        <v>200.35</v>
      </c>
      <c r="AM22" s="38">
        <f t="shared" si="7"/>
        <v>1726.6162999999999</v>
      </c>
      <c r="AN22" s="255">
        <v>24.029889999999998</v>
      </c>
      <c r="AO22" s="320">
        <v>988.85429771006034</v>
      </c>
      <c r="AP22" s="39">
        <f t="shared" si="8"/>
        <v>23762.06</v>
      </c>
      <c r="AQ22" s="201">
        <f t="shared" si="9"/>
        <v>8717.0575581395369</v>
      </c>
      <c r="AR22" s="229">
        <f t="shared" si="10"/>
        <v>124.95833333333333</v>
      </c>
      <c r="AS22" s="13"/>
      <c r="AT22" s="27">
        <v>0</v>
      </c>
      <c r="AU22" s="40">
        <v>0</v>
      </c>
      <c r="AV22" s="40">
        <v>0</v>
      </c>
      <c r="AW22" s="27">
        <v>0</v>
      </c>
      <c r="AX22" s="40">
        <v>16</v>
      </c>
      <c r="AY22" s="27">
        <v>1440</v>
      </c>
      <c r="AZ22" s="27">
        <v>0</v>
      </c>
      <c r="BA22" s="332"/>
      <c r="BB22" s="52">
        <v>991</v>
      </c>
      <c r="BC22" s="52">
        <v>1038</v>
      </c>
      <c r="BD22" s="52">
        <v>994</v>
      </c>
      <c r="BE22" s="41">
        <f t="shared" si="15"/>
        <v>47</v>
      </c>
      <c r="BF22" s="41">
        <f t="shared" si="12"/>
        <v>8717.0575581395369</v>
      </c>
      <c r="BG22" s="60">
        <f t="shared" si="13"/>
        <v>41.416666666666664</v>
      </c>
      <c r="BH22" s="43">
        <v>0</v>
      </c>
      <c r="BI22" s="44">
        <v>0</v>
      </c>
      <c r="BJ22" s="45">
        <v>29.2</v>
      </c>
      <c r="BK22" s="45">
        <v>25.55</v>
      </c>
      <c r="BL22" s="47">
        <v>20.440000000000001</v>
      </c>
      <c r="BM22" s="47">
        <v>28.86</v>
      </c>
      <c r="BN22" s="45">
        <v>988.92</v>
      </c>
      <c r="BO22" s="45">
        <v>50.12</v>
      </c>
      <c r="BP22" s="48">
        <v>0.93049999999999999</v>
      </c>
      <c r="BQ22" s="42">
        <v>96.86</v>
      </c>
      <c r="BR22" s="42">
        <v>87.1</v>
      </c>
      <c r="BS22" s="41">
        <v>12112</v>
      </c>
      <c r="BT22" s="41">
        <v>11526</v>
      </c>
      <c r="BU22" s="51">
        <f t="shared" si="14"/>
        <v>-586</v>
      </c>
      <c r="BV22" s="41">
        <f t="shared" si="18"/>
        <v>0</v>
      </c>
      <c r="BW22" s="42">
        <v>0</v>
      </c>
      <c r="BX22" s="42">
        <v>0</v>
      </c>
      <c r="BZ22" s="42">
        <v>24</v>
      </c>
      <c r="CA22" s="42">
        <v>7.1</v>
      </c>
      <c r="CC22" s="42">
        <v>2.1</v>
      </c>
      <c r="CD22" s="42">
        <v>5.05</v>
      </c>
      <c r="CE22" s="42">
        <v>2.1</v>
      </c>
      <c r="CF22" s="42">
        <v>0</v>
      </c>
    </row>
    <row r="23" spans="1:84">
      <c r="A23" s="452"/>
      <c r="B23" s="24">
        <v>43357</v>
      </c>
      <c r="C23" s="25">
        <v>88.4</v>
      </c>
      <c r="D23" s="26">
        <v>0.63980000000000004</v>
      </c>
      <c r="E23" s="38">
        <v>74.849999999999994</v>
      </c>
      <c r="F23" s="28">
        <v>97</v>
      </c>
      <c r="G23" s="28">
        <v>82</v>
      </c>
      <c r="H23" s="28">
        <v>24</v>
      </c>
      <c r="I23" s="28">
        <v>0</v>
      </c>
      <c r="J23" s="28">
        <v>24</v>
      </c>
      <c r="K23" s="28">
        <v>0</v>
      </c>
      <c r="L23" s="28">
        <v>0</v>
      </c>
      <c r="M23" s="28">
        <v>0</v>
      </c>
      <c r="N23" s="28">
        <v>0</v>
      </c>
      <c r="O23" s="28">
        <v>0</v>
      </c>
      <c r="P23" s="28">
        <v>0</v>
      </c>
      <c r="Q23" s="27">
        <v>0</v>
      </c>
      <c r="R23" s="252">
        <v>3515</v>
      </c>
      <c r="S23" s="253">
        <v>3018</v>
      </c>
      <c r="T23" s="28">
        <v>3018</v>
      </c>
      <c r="U23" s="28">
        <v>2943</v>
      </c>
      <c r="V23" s="28">
        <v>3043</v>
      </c>
      <c r="W23" s="28">
        <v>42</v>
      </c>
      <c r="X23" s="28">
        <v>0</v>
      </c>
      <c r="Y23" s="28">
        <v>44</v>
      </c>
      <c r="Z23" s="28">
        <v>0</v>
      </c>
      <c r="AA23" s="28">
        <v>57</v>
      </c>
      <c r="AB23" s="28">
        <v>0</v>
      </c>
      <c r="AC23" s="32">
        <f>V23-U23+AZ23</f>
        <v>100</v>
      </c>
      <c r="AD23" s="33">
        <f t="shared" si="1"/>
        <v>-75</v>
      </c>
      <c r="AE23" s="28">
        <v>128</v>
      </c>
      <c r="AF23" s="34">
        <f t="shared" si="16"/>
        <v>0.99055989583333337</v>
      </c>
      <c r="AG23" s="35">
        <f t="shared" si="3"/>
        <v>146.45833333333334</v>
      </c>
      <c r="AH23" s="34">
        <f t="shared" si="17"/>
        <v>0.83726884779516364</v>
      </c>
      <c r="AI23" s="226">
        <f t="shared" si="19"/>
        <v>1</v>
      </c>
      <c r="AJ23" s="37">
        <f t="shared" si="6"/>
        <v>0.8951048951048951</v>
      </c>
      <c r="AK23" s="255">
        <v>8.6010000000000009</v>
      </c>
      <c r="AL23" s="272">
        <v>201.56</v>
      </c>
      <c r="AM23" s="38">
        <f t="shared" si="7"/>
        <v>1733.6175600000001</v>
      </c>
      <c r="AN23" s="271">
        <v>24.160580000000003</v>
      </c>
      <c r="AO23" s="320">
        <v>985.6837046130513</v>
      </c>
      <c r="AP23" s="39">
        <f t="shared" si="8"/>
        <v>23814.69</v>
      </c>
      <c r="AQ23" s="201">
        <f t="shared" si="9"/>
        <v>8681.0423241590215</v>
      </c>
      <c r="AR23" s="229">
        <f t="shared" si="10"/>
        <v>125.75</v>
      </c>
      <c r="AS23" s="13"/>
      <c r="AT23" s="28">
        <v>0</v>
      </c>
      <c r="AU23" s="40">
        <v>0</v>
      </c>
      <c r="AV23" s="40">
        <v>0</v>
      </c>
      <c r="AW23" s="27">
        <v>0</v>
      </c>
      <c r="AX23" s="28">
        <v>15</v>
      </c>
      <c r="AY23" s="28">
        <v>1440</v>
      </c>
      <c r="AZ23" s="28">
        <v>0</v>
      </c>
      <c r="BA23" s="332"/>
      <c r="BB23" s="52">
        <v>998</v>
      </c>
      <c r="BC23" s="52">
        <v>1045</v>
      </c>
      <c r="BD23" s="52">
        <v>1000</v>
      </c>
      <c r="BE23" s="41">
        <f t="shared" si="15"/>
        <v>47</v>
      </c>
      <c r="BF23" s="41">
        <f t="shared" si="12"/>
        <v>8681.0423241590215</v>
      </c>
      <c r="BG23" s="60">
        <f t="shared" si="13"/>
        <v>41.666666666666664</v>
      </c>
      <c r="BH23" s="71">
        <v>0</v>
      </c>
      <c r="BI23" s="71">
        <v>0</v>
      </c>
      <c r="BJ23" s="72">
        <v>29.37</v>
      </c>
      <c r="BK23" s="72">
        <v>25.74</v>
      </c>
      <c r="BL23" s="72">
        <v>20.68</v>
      </c>
      <c r="BM23" s="72">
        <v>28.83</v>
      </c>
      <c r="BN23" s="73">
        <v>991.38</v>
      </c>
      <c r="BO23" s="73">
        <v>50.18</v>
      </c>
      <c r="BP23" s="74">
        <v>0.93120000000000003</v>
      </c>
      <c r="BQ23" s="54">
        <v>96.76</v>
      </c>
      <c r="BR23" s="54">
        <v>87.06</v>
      </c>
      <c r="BS23" s="55">
        <v>12107</v>
      </c>
      <c r="BT23" s="55">
        <v>11541</v>
      </c>
      <c r="BU23" s="51">
        <f t="shared" si="14"/>
        <v>-566</v>
      </c>
      <c r="BV23" s="41">
        <f t="shared" si="18"/>
        <v>0</v>
      </c>
      <c r="BW23" s="73">
        <v>0</v>
      </c>
      <c r="BX23" s="73">
        <v>0</v>
      </c>
      <c r="BZ23" s="73">
        <v>24</v>
      </c>
      <c r="CA23" s="73">
        <v>7.18</v>
      </c>
      <c r="CC23" s="73">
        <v>2.1</v>
      </c>
      <c r="CD23" s="73">
        <v>5</v>
      </c>
      <c r="CE23" s="73">
        <v>2.1</v>
      </c>
      <c r="CF23" s="73">
        <v>0</v>
      </c>
    </row>
    <row r="24" spans="1:84">
      <c r="A24" s="452"/>
      <c r="B24" s="24">
        <v>43358</v>
      </c>
      <c r="C24" s="25">
        <v>83</v>
      </c>
      <c r="D24" s="26">
        <v>0.7</v>
      </c>
      <c r="E24" s="38">
        <v>73</v>
      </c>
      <c r="F24" s="75">
        <v>93</v>
      </c>
      <c r="G24" s="75">
        <v>77</v>
      </c>
      <c r="H24" s="27">
        <v>24</v>
      </c>
      <c r="I24" s="27">
        <v>0</v>
      </c>
      <c r="J24" s="27">
        <v>24</v>
      </c>
      <c r="K24" s="27">
        <v>0</v>
      </c>
      <c r="L24" s="29">
        <v>0</v>
      </c>
      <c r="M24" s="29">
        <v>0</v>
      </c>
      <c r="N24" s="29">
        <v>0</v>
      </c>
      <c r="O24" s="29">
        <v>0</v>
      </c>
      <c r="P24" s="29">
        <v>0</v>
      </c>
      <c r="Q24" s="253">
        <v>0</v>
      </c>
      <c r="R24" s="252">
        <v>3568</v>
      </c>
      <c r="S24" s="253">
        <v>3042</v>
      </c>
      <c r="T24" s="75">
        <v>3042</v>
      </c>
      <c r="U24" s="75">
        <v>2968</v>
      </c>
      <c r="V24" s="27">
        <v>3068</v>
      </c>
      <c r="W24" s="27">
        <v>42</v>
      </c>
      <c r="X24" s="27">
        <v>0</v>
      </c>
      <c r="Y24" s="27">
        <v>44</v>
      </c>
      <c r="Z24" s="29">
        <v>0</v>
      </c>
      <c r="AA24" s="29">
        <v>57</v>
      </c>
      <c r="AB24" s="29">
        <v>0</v>
      </c>
      <c r="AC24" s="32">
        <f t="shared" si="0"/>
        <v>100</v>
      </c>
      <c r="AD24" s="33">
        <f t="shared" si="1"/>
        <v>-74</v>
      </c>
      <c r="AE24" s="28">
        <v>130</v>
      </c>
      <c r="AF24" s="34">
        <f t="shared" si="16"/>
        <v>0.98333333333333328</v>
      </c>
      <c r="AG24" s="35">
        <f t="shared" si="3"/>
        <v>148.66666666666666</v>
      </c>
      <c r="AH24" s="34">
        <f t="shared" si="17"/>
        <v>0.83183856502242148</v>
      </c>
      <c r="AI24" s="226">
        <f t="shared" si="19"/>
        <v>1</v>
      </c>
      <c r="AJ24" s="37">
        <f t="shared" si="6"/>
        <v>0.8951048951048951</v>
      </c>
      <c r="AK24" s="255">
        <v>8.625</v>
      </c>
      <c r="AL24" s="272">
        <v>205.58</v>
      </c>
      <c r="AM24" s="38">
        <f t="shared" si="7"/>
        <v>1773.1275000000001</v>
      </c>
      <c r="AN24" s="271">
        <v>23.989000000000001</v>
      </c>
      <c r="AO24" s="320">
        <v>999.81382656541894</v>
      </c>
      <c r="AP24" s="39">
        <f t="shared" si="8"/>
        <v>23984.533885477835</v>
      </c>
      <c r="AQ24" s="201">
        <f t="shared" si="9"/>
        <v>8678.4573401205635</v>
      </c>
      <c r="AR24" s="229">
        <f t="shared" si="10"/>
        <v>126.75</v>
      </c>
      <c r="AS24" s="13"/>
      <c r="AT24" s="27">
        <v>0</v>
      </c>
      <c r="AU24" s="40">
        <v>0</v>
      </c>
      <c r="AV24" s="40">
        <v>0</v>
      </c>
      <c r="AW24" s="27">
        <v>0</v>
      </c>
      <c r="AX24" s="40">
        <v>15</v>
      </c>
      <c r="AY24" s="27">
        <v>1440</v>
      </c>
      <c r="AZ24" s="27">
        <v>0</v>
      </c>
      <c r="BA24" s="332"/>
      <c r="BB24" s="52">
        <v>1007</v>
      </c>
      <c r="BC24" s="52">
        <v>1054</v>
      </c>
      <c r="BD24" s="52">
        <v>1007</v>
      </c>
      <c r="BE24" s="41">
        <f t="shared" si="15"/>
        <v>47</v>
      </c>
      <c r="BF24" s="41">
        <f t="shared" si="12"/>
        <v>8678.4573401205635</v>
      </c>
      <c r="BG24" s="60">
        <f t="shared" si="13"/>
        <v>41.958333333333336</v>
      </c>
      <c r="BH24" s="43">
        <v>0</v>
      </c>
      <c r="BI24" s="44">
        <v>0</v>
      </c>
      <c r="BJ24" s="45">
        <v>29.95</v>
      </c>
      <c r="BK24" s="370">
        <v>25.03</v>
      </c>
      <c r="BL24" s="47">
        <v>20.18</v>
      </c>
      <c r="BM24" s="47">
        <v>29.29</v>
      </c>
      <c r="BN24" s="45">
        <v>995.21</v>
      </c>
      <c r="BO24" s="45">
        <v>50.13</v>
      </c>
      <c r="BP24" s="48">
        <v>0.93310000000000004</v>
      </c>
      <c r="BQ24" s="54">
        <v>96.93</v>
      </c>
      <c r="BR24" s="54">
        <v>87</v>
      </c>
      <c r="BS24" s="55">
        <v>11660</v>
      </c>
      <c r="BT24" s="55">
        <v>11193</v>
      </c>
      <c r="BU24" s="51">
        <f t="shared" si="14"/>
        <v>-467</v>
      </c>
      <c r="BV24" s="41">
        <f t="shared" si="18"/>
        <v>0</v>
      </c>
      <c r="BW24" s="42">
        <v>0</v>
      </c>
      <c r="BX24" s="42">
        <v>0</v>
      </c>
      <c r="BZ24" s="42">
        <v>24</v>
      </c>
      <c r="CA24" s="42">
        <v>6.67</v>
      </c>
      <c r="CC24" s="42">
        <v>2</v>
      </c>
      <c r="CD24" s="42">
        <v>5</v>
      </c>
      <c r="CE24" s="42">
        <v>2.1</v>
      </c>
      <c r="CF24" s="42">
        <v>0</v>
      </c>
    </row>
    <row r="25" spans="1:84">
      <c r="A25" s="453"/>
      <c r="B25" s="24">
        <v>43359</v>
      </c>
      <c r="C25" s="25">
        <v>87</v>
      </c>
      <c r="D25" s="26">
        <v>0.64</v>
      </c>
      <c r="E25" s="38">
        <v>74</v>
      </c>
      <c r="F25" s="28">
        <v>94</v>
      </c>
      <c r="G25" s="28">
        <v>78</v>
      </c>
      <c r="H25" s="27">
        <v>24</v>
      </c>
      <c r="I25" s="27">
        <v>0</v>
      </c>
      <c r="J25" s="27">
        <v>24</v>
      </c>
      <c r="K25" s="27">
        <v>0</v>
      </c>
      <c r="L25" s="29">
        <v>0</v>
      </c>
      <c r="M25" s="29">
        <v>0</v>
      </c>
      <c r="N25" s="29">
        <v>0</v>
      </c>
      <c r="O25" s="29">
        <v>0</v>
      </c>
      <c r="P25" s="29">
        <v>0</v>
      </c>
      <c r="Q25" s="253">
        <v>0</v>
      </c>
      <c r="R25" s="251">
        <v>3526</v>
      </c>
      <c r="S25" s="253">
        <v>3024</v>
      </c>
      <c r="T25" s="28">
        <v>3024</v>
      </c>
      <c r="U25" s="28">
        <v>2956</v>
      </c>
      <c r="V25" s="27">
        <v>3057</v>
      </c>
      <c r="W25" s="27">
        <v>42</v>
      </c>
      <c r="X25" s="27">
        <v>0</v>
      </c>
      <c r="Y25" s="27">
        <v>44</v>
      </c>
      <c r="Z25" s="29">
        <v>0</v>
      </c>
      <c r="AA25" s="29">
        <v>58</v>
      </c>
      <c r="AB25" s="29">
        <v>0</v>
      </c>
      <c r="AC25" s="32">
        <f t="shared" si="0"/>
        <v>101</v>
      </c>
      <c r="AD25" s="33">
        <f>U25-T25</f>
        <v>-68</v>
      </c>
      <c r="AE25" s="28">
        <v>129</v>
      </c>
      <c r="AF25" s="34">
        <f t="shared" si="16"/>
        <v>0.98740310077519378</v>
      </c>
      <c r="AG25" s="35">
        <f t="shared" si="3"/>
        <v>146.91666666666666</v>
      </c>
      <c r="AH25" s="34">
        <f t="shared" si="17"/>
        <v>0.83834373227453207</v>
      </c>
      <c r="AI25" s="226">
        <f t="shared" si="19"/>
        <v>1</v>
      </c>
      <c r="AJ25" s="37">
        <f t="shared" si="6"/>
        <v>0.88888888888888884</v>
      </c>
      <c r="AK25" s="255">
        <v>8.6029999999999998</v>
      </c>
      <c r="AL25" s="272">
        <v>204.14</v>
      </c>
      <c r="AM25" s="38">
        <f t="shared" si="7"/>
        <v>1756.2164199999997</v>
      </c>
      <c r="AN25" s="271">
        <v>23.611999999999998</v>
      </c>
      <c r="AO25" s="320">
        <v>1012.5948822616558</v>
      </c>
      <c r="AP25" s="39">
        <f t="shared" si="8"/>
        <v>23909.390359962214</v>
      </c>
      <c r="AQ25" s="201">
        <f t="shared" si="9"/>
        <v>8682.5462719763927</v>
      </c>
      <c r="AR25" s="229">
        <f t="shared" si="10"/>
        <v>126</v>
      </c>
      <c r="AS25" s="13"/>
      <c r="AT25" s="27">
        <v>0</v>
      </c>
      <c r="AU25" s="40">
        <v>0</v>
      </c>
      <c r="AV25" s="40">
        <v>0</v>
      </c>
      <c r="AW25" s="27">
        <v>0</v>
      </c>
      <c r="AX25" s="40">
        <v>16</v>
      </c>
      <c r="AY25" s="27">
        <v>1440</v>
      </c>
      <c r="AZ25" s="27">
        <v>0</v>
      </c>
      <c r="BA25" s="332"/>
      <c r="BB25" s="52">
        <v>1002</v>
      </c>
      <c r="BC25" s="52">
        <v>1050</v>
      </c>
      <c r="BD25" s="52">
        <v>1005</v>
      </c>
      <c r="BE25" s="41">
        <f t="shared" si="15"/>
        <v>48</v>
      </c>
      <c r="BF25" s="41">
        <f t="shared" si="12"/>
        <v>8682.5462719763927</v>
      </c>
      <c r="BG25" s="60">
        <f t="shared" si="13"/>
        <v>41.875</v>
      </c>
      <c r="BH25" s="43">
        <v>0</v>
      </c>
      <c r="BI25" s="44">
        <v>0</v>
      </c>
      <c r="BJ25" s="45">
        <v>29.53</v>
      </c>
      <c r="BK25" s="47">
        <v>25.02</v>
      </c>
      <c r="BL25" s="47">
        <v>20.239999999999998</v>
      </c>
      <c r="BM25" s="47">
        <v>28.92</v>
      </c>
      <c r="BN25" s="45">
        <v>994.8</v>
      </c>
      <c r="BO25" s="45">
        <v>50.12</v>
      </c>
      <c r="BP25" s="48">
        <v>0.9325</v>
      </c>
      <c r="BQ25" s="54">
        <v>96.77</v>
      </c>
      <c r="BR25" s="54">
        <v>86.99</v>
      </c>
      <c r="BS25" s="55">
        <v>11736</v>
      </c>
      <c r="BT25" s="55">
        <v>11278</v>
      </c>
      <c r="BU25" s="51">
        <f t="shared" si="14"/>
        <v>-458</v>
      </c>
      <c r="BV25" s="41">
        <f t="shared" si="18"/>
        <v>0</v>
      </c>
      <c r="BW25" s="42">
        <v>0</v>
      </c>
      <c r="BX25" s="42">
        <v>0</v>
      </c>
      <c r="BZ25" s="42">
        <v>24</v>
      </c>
      <c r="CA25" s="42">
        <v>6.6</v>
      </c>
      <c r="CC25" s="42">
        <v>2.1</v>
      </c>
      <c r="CD25" s="42">
        <v>5</v>
      </c>
      <c r="CE25" s="42">
        <v>2.1</v>
      </c>
      <c r="CF25" s="42">
        <v>-0.5</v>
      </c>
    </row>
    <row r="26" spans="1:84" ht="15" customHeight="1">
      <c r="A26" s="451" t="s">
        <v>276</v>
      </c>
      <c r="B26" s="24">
        <v>43360</v>
      </c>
      <c r="C26" s="157">
        <v>90</v>
      </c>
      <c r="D26" s="197">
        <v>0.6</v>
      </c>
      <c r="E26" s="171">
        <v>74</v>
      </c>
      <c r="F26" s="160">
        <v>99</v>
      </c>
      <c r="G26" s="160">
        <v>81</v>
      </c>
      <c r="H26" s="160">
        <v>24</v>
      </c>
      <c r="I26" s="160">
        <v>0</v>
      </c>
      <c r="J26" s="160">
        <v>24</v>
      </c>
      <c r="K26" s="160">
        <v>0</v>
      </c>
      <c r="L26" s="188">
        <v>0</v>
      </c>
      <c r="M26" s="188">
        <v>0</v>
      </c>
      <c r="N26" s="188">
        <v>0</v>
      </c>
      <c r="O26" s="188">
        <v>0</v>
      </c>
      <c r="P26" s="188">
        <v>0</v>
      </c>
      <c r="Q26" s="262">
        <v>0</v>
      </c>
      <c r="R26" s="257">
        <v>3499</v>
      </c>
      <c r="S26" s="159">
        <v>3022</v>
      </c>
      <c r="T26" s="160">
        <v>3022</v>
      </c>
      <c r="U26" s="160">
        <v>2946</v>
      </c>
      <c r="V26" s="160">
        <v>3044</v>
      </c>
      <c r="W26" s="160">
        <v>42</v>
      </c>
      <c r="X26" s="160">
        <v>0</v>
      </c>
      <c r="Y26" s="160">
        <v>44</v>
      </c>
      <c r="Z26" s="188">
        <v>0</v>
      </c>
      <c r="AA26" s="188">
        <v>57</v>
      </c>
      <c r="AB26" s="188">
        <v>0</v>
      </c>
      <c r="AC26" s="165">
        <f t="shared" si="0"/>
        <v>98</v>
      </c>
      <c r="AD26" s="166">
        <f t="shared" si="1"/>
        <v>-76</v>
      </c>
      <c r="AE26" s="160">
        <v>128</v>
      </c>
      <c r="AF26" s="167">
        <f t="shared" si="16"/>
        <v>0.99088541666666663</v>
      </c>
      <c r="AG26" s="168">
        <f t="shared" si="3"/>
        <v>145.79166666666666</v>
      </c>
      <c r="AH26" s="167">
        <f t="shared" si="17"/>
        <v>0.84195484424121181</v>
      </c>
      <c r="AI26" s="169">
        <f t="shared" si="19"/>
        <v>1</v>
      </c>
      <c r="AJ26" s="170">
        <f t="shared" si="6"/>
        <v>0.8951048951048951</v>
      </c>
      <c r="AK26" s="273">
        <v>8.6210000000000004</v>
      </c>
      <c r="AL26" s="274">
        <v>205.07</v>
      </c>
      <c r="AM26" s="275">
        <f t="shared" si="7"/>
        <v>1767.9084700000001</v>
      </c>
      <c r="AN26" s="273">
        <v>23.623000000000001</v>
      </c>
      <c r="AO26" s="321">
        <v>1003.4427961617458</v>
      </c>
      <c r="AP26" s="172">
        <f t="shared" si="8"/>
        <v>23704.329173728922</v>
      </c>
      <c r="AQ26" s="202">
        <f t="shared" si="9"/>
        <v>8646.3807344633133</v>
      </c>
      <c r="AR26" s="199">
        <f t="shared" si="10"/>
        <v>125.91666666666667</v>
      </c>
      <c r="AS26" s="13"/>
      <c r="AT26" s="159">
        <v>0</v>
      </c>
      <c r="AU26" s="174">
        <v>0</v>
      </c>
      <c r="AV26" s="174">
        <v>0</v>
      </c>
      <c r="AW26" s="159">
        <v>0</v>
      </c>
      <c r="AX26" s="174">
        <v>15</v>
      </c>
      <c r="AY26" s="159">
        <v>1440</v>
      </c>
      <c r="AZ26" s="159">
        <v>0</v>
      </c>
      <c r="BA26" s="332"/>
      <c r="BB26" s="175">
        <v>996</v>
      </c>
      <c r="BC26" s="175">
        <v>1046</v>
      </c>
      <c r="BD26" s="175">
        <v>1002</v>
      </c>
      <c r="BE26" s="175">
        <f t="shared" si="15"/>
        <v>50</v>
      </c>
      <c r="BF26" s="175">
        <f t="shared" si="12"/>
        <v>8646.3807344633133</v>
      </c>
      <c r="BG26" s="177">
        <f t="shared" si="13"/>
        <v>41.75</v>
      </c>
      <c r="BH26" s="191">
        <v>0</v>
      </c>
      <c r="BI26" s="155">
        <v>0</v>
      </c>
      <c r="BJ26" s="181">
        <v>29.2</v>
      </c>
      <c r="BK26" s="192">
        <v>24.98</v>
      </c>
      <c r="BL26" s="192">
        <v>20.27</v>
      </c>
      <c r="BM26" s="192">
        <v>28.86</v>
      </c>
      <c r="BN26" s="192">
        <v>993.2</v>
      </c>
      <c r="BO26" s="192">
        <v>50.13</v>
      </c>
      <c r="BP26" s="193">
        <v>0.93100000000000005</v>
      </c>
      <c r="BQ26" s="194">
        <v>96.56</v>
      </c>
      <c r="BR26" s="194">
        <v>87</v>
      </c>
      <c r="BS26" s="194">
        <v>11769</v>
      </c>
      <c r="BT26" s="194">
        <v>11318</v>
      </c>
      <c r="BU26" s="51">
        <f t="shared" si="14"/>
        <v>-451</v>
      </c>
      <c r="BV26" s="175">
        <f t="shared" si="18"/>
        <v>0</v>
      </c>
      <c r="BW26" s="177">
        <v>0</v>
      </c>
      <c r="BX26" s="177">
        <v>0</v>
      </c>
      <c r="BZ26" s="177">
        <v>24</v>
      </c>
      <c r="CA26" s="177">
        <v>6.4</v>
      </c>
      <c r="CC26" s="177">
        <v>2</v>
      </c>
      <c r="CD26" s="177">
        <v>4.9000000000000004</v>
      </c>
      <c r="CE26" s="177">
        <v>2.1</v>
      </c>
      <c r="CF26" s="177">
        <v>-0.3</v>
      </c>
    </row>
    <row r="27" spans="1:84">
      <c r="A27" s="452"/>
      <c r="B27" s="24">
        <v>43361</v>
      </c>
      <c r="C27" s="157">
        <v>89.9</v>
      </c>
      <c r="D27" s="197">
        <v>0.60699999999999998</v>
      </c>
      <c r="E27" s="171">
        <v>74</v>
      </c>
      <c r="F27" s="160">
        <v>102</v>
      </c>
      <c r="G27" s="160">
        <v>79</v>
      </c>
      <c r="H27" s="356">
        <v>24</v>
      </c>
      <c r="I27" s="356">
        <v>0</v>
      </c>
      <c r="J27" s="356">
        <v>24</v>
      </c>
      <c r="K27" s="356">
        <v>0</v>
      </c>
      <c r="L27" s="357">
        <v>0</v>
      </c>
      <c r="M27" s="188">
        <v>0</v>
      </c>
      <c r="N27" s="188">
        <v>0</v>
      </c>
      <c r="O27" s="188">
        <v>0</v>
      </c>
      <c r="P27" s="188">
        <v>0</v>
      </c>
      <c r="Q27" s="262">
        <v>0</v>
      </c>
      <c r="R27" s="257">
        <v>3501</v>
      </c>
      <c r="S27" s="159">
        <v>3019</v>
      </c>
      <c r="T27" s="160">
        <v>3019</v>
      </c>
      <c r="U27" s="160">
        <v>2945</v>
      </c>
      <c r="V27" s="160">
        <v>3043</v>
      </c>
      <c r="W27" s="160">
        <v>42</v>
      </c>
      <c r="X27" s="160">
        <v>0</v>
      </c>
      <c r="Y27" s="160">
        <v>44</v>
      </c>
      <c r="Z27" s="188">
        <v>0</v>
      </c>
      <c r="AA27" s="188">
        <v>57</v>
      </c>
      <c r="AB27" s="356">
        <v>0</v>
      </c>
      <c r="AC27" s="165">
        <f t="shared" si="0"/>
        <v>98</v>
      </c>
      <c r="AD27" s="166">
        <f t="shared" si="1"/>
        <v>-74</v>
      </c>
      <c r="AE27" s="160">
        <v>129</v>
      </c>
      <c r="AF27" s="167">
        <f t="shared" si="16"/>
        <v>0.9828811369509044</v>
      </c>
      <c r="AG27" s="168">
        <f t="shared" si="3"/>
        <v>145.875</v>
      </c>
      <c r="AH27" s="167">
        <f t="shared" si="17"/>
        <v>0.84118823193373327</v>
      </c>
      <c r="AI27" s="169">
        <f t="shared" si="19"/>
        <v>1</v>
      </c>
      <c r="AJ27" s="170">
        <f t="shared" si="6"/>
        <v>0.8951048951048951</v>
      </c>
      <c r="AK27" s="306">
        <v>8.6240000000000006</v>
      </c>
      <c r="AL27" s="307">
        <v>204.23</v>
      </c>
      <c r="AM27" s="275">
        <f t="shared" si="7"/>
        <v>1761.27952</v>
      </c>
      <c r="AN27" s="306">
        <v>23.771000000000001</v>
      </c>
      <c r="AO27" s="331">
        <v>1001.933965258018</v>
      </c>
      <c r="AP27" s="172">
        <f t="shared" si="8"/>
        <v>23816.972288148347</v>
      </c>
      <c r="AQ27" s="202">
        <f t="shared" si="9"/>
        <v>8685.3147056530888</v>
      </c>
      <c r="AR27" s="199">
        <f>IF(S27&gt;0,(S27/24), "no data")</f>
        <v>125.79166666666667</v>
      </c>
      <c r="AS27" s="13"/>
      <c r="AT27" s="359">
        <v>0</v>
      </c>
      <c r="AU27" s="358">
        <v>0</v>
      </c>
      <c r="AV27" s="359">
        <v>0</v>
      </c>
      <c r="AW27" s="359">
        <v>0</v>
      </c>
      <c r="AX27" s="358">
        <v>15</v>
      </c>
      <c r="AY27" s="359">
        <v>1440</v>
      </c>
      <c r="AZ27" s="159">
        <v>0</v>
      </c>
      <c r="BA27" s="332"/>
      <c r="BB27" s="175">
        <v>997</v>
      </c>
      <c r="BC27" s="175">
        <v>1045</v>
      </c>
      <c r="BD27" s="175">
        <v>1001</v>
      </c>
      <c r="BE27" s="175">
        <f t="shared" si="15"/>
        <v>48</v>
      </c>
      <c r="BF27" s="175">
        <f t="shared" si="12"/>
        <v>8685.3147056530888</v>
      </c>
      <c r="BG27" s="177">
        <f t="shared" si="13"/>
        <v>41.708333333333336</v>
      </c>
      <c r="BH27" s="191">
        <v>0</v>
      </c>
      <c r="BI27" s="155">
        <v>0</v>
      </c>
      <c r="BJ27" s="181">
        <v>29.2</v>
      </c>
      <c r="BK27" s="192">
        <v>25.14</v>
      </c>
      <c r="BL27" s="192">
        <v>20.52</v>
      </c>
      <c r="BM27" s="192">
        <v>28.56</v>
      </c>
      <c r="BN27" s="181">
        <v>993</v>
      </c>
      <c r="BO27" s="192">
        <v>50.21</v>
      </c>
      <c r="BP27" s="193">
        <v>0.93110000000000004</v>
      </c>
      <c r="BQ27" s="194">
        <v>96.52</v>
      </c>
      <c r="BR27" s="194">
        <v>87</v>
      </c>
      <c r="BS27" s="194">
        <v>11838</v>
      </c>
      <c r="BT27" s="194">
        <v>11423</v>
      </c>
      <c r="BU27" s="51">
        <f t="shared" si="14"/>
        <v>-415</v>
      </c>
      <c r="BV27" s="175">
        <f t="shared" si="18"/>
        <v>0</v>
      </c>
      <c r="BW27" s="177">
        <v>0</v>
      </c>
      <c r="BX27" s="177">
        <v>0</v>
      </c>
      <c r="BZ27" s="177">
        <v>24</v>
      </c>
      <c r="CA27" s="177">
        <v>7.16</v>
      </c>
      <c r="CC27" s="177">
        <v>2</v>
      </c>
      <c r="CD27" s="177">
        <v>4.9000000000000004</v>
      </c>
      <c r="CE27" s="177">
        <v>2.1</v>
      </c>
      <c r="CF27" s="177">
        <v>-0.4</v>
      </c>
    </row>
    <row r="28" spans="1:84">
      <c r="A28" s="452"/>
      <c r="B28" s="24">
        <v>43362</v>
      </c>
      <c r="C28" s="157">
        <v>88.8</v>
      </c>
      <c r="D28" s="197">
        <v>0.63100000000000001</v>
      </c>
      <c r="E28" s="171">
        <v>74.8</v>
      </c>
      <c r="F28" s="160">
        <v>102</v>
      </c>
      <c r="G28" s="160">
        <v>79</v>
      </c>
      <c r="H28" s="356">
        <v>24</v>
      </c>
      <c r="I28" s="356">
        <v>0</v>
      </c>
      <c r="J28" s="356">
        <v>24</v>
      </c>
      <c r="K28" s="356">
        <v>0</v>
      </c>
      <c r="L28" s="357">
        <v>0</v>
      </c>
      <c r="M28" s="188">
        <v>0</v>
      </c>
      <c r="N28" s="188">
        <v>0</v>
      </c>
      <c r="O28" s="188">
        <v>0</v>
      </c>
      <c r="P28" s="188">
        <v>0</v>
      </c>
      <c r="Q28" s="262">
        <v>0</v>
      </c>
      <c r="R28" s="257">
        <v>3509</v>
      </c>
      <c r="S28" s="159">
        <v>3002</v>
      </c>
      <c r="T28" s="160">
        <v>3002</v>
      </c>
      <c r="U28" s="160">
        <v>2933</v>
      </c>
      <c r="V28" s="160">
        <v>3033</v>
      </c>
      <c r="W28" s="160">
        <v>41</v>
      </c>
      <c r="X28" s="160">
        <v>0</v>
      </c>
      <c r="Y28" s="160">
        <v>43</v>
      </c>
      <c r="Z28" s="258">
        <v>0</v>
      </c>
      <c r="AA28" s="188">
        <v>57</v>
      </c>
      <c r="AB28" s="188">
        <v>0</v>
      </c>
      <c r="AC28" s="165">
        <f t="shared" si="0"/>
        <v>100</v>
      </c>
      <c r="AD28" s="166">
        <f>U28-T28</f>
        <v>-69</v>
      </c>
      <c r="AE28" s="160">
        <v>130</v>
      </c>
      <c r="AF28" s="167">
        <f t="shared" si="16"/>
        <v>0.9721153846153846</v>
      </c>
      <c r="AG28" s="168">
        <f t="shared" si="3"/>
        <v>146.20833333333334</v>
      </c>
      <c r="AH28" s="167">
        <f t="shared" si="17"/>
        <v>0.83585066970646904</v>
      </c>
      <c r="AI28" s="169">
        <f t="shared" si="19"/>
        <v>1</v>
      </c>
      <c r="AJ28" s="170">
        <f t="shared" si="6"/>
        <v>0.8936170212765957</v>
      </c>
      <c r="AK28" s="306">
        <v>8.5980000000000008</v>
      </c>
      <c r="AL28" s="307">
        <v>189.09</v>
      </c>
      <c r="AM28" s="275">
        <f t="shared" si="7"/>
        <v>1625.7958200000003</v>
      </c>
      <c r="AN28" s="306">
        <v>23.858000000000001</v>
      </c>
      <c r="AO28" s="331">
        <v>997.8442411417667</v>
      </c>
      <c r="AP28" s="172">
        <f t="shared" si="8"/>
        <v>23806.567905160271</v>
      </c>
      <c r="AQ28" s="202">
        <f t="shared" si="9"/>
        <v>8671.1093505490189</v>
      </c>
      <c r="AR28" s="199">
        <f t="shared" si="10"/>
        <v>125.08333333333333</v>
      </c>
      <c r="AS28" s="13"/>
      <c r="AT28" s="159">
        <v>0</v>
      </c>
      <c r="AU28" s="174">
        <v>0</v>
      </c>
      <c r="AV28" s="174">
        <v>0</v>
      </c>
      <c r="AW28" s="159">
        <v>0</v>
      </c>
      <c r="AX28" s="174">
        <v>15</v>
      </c>
      <c r="AY28" s="159">
        <v>1440</v>
      </c>
      <c r="AZ28" s="159">
        <v>0</v>
      </c>
      <c r="BA28" s="332"/>
      <c r="BB28" s="175">
        <v>993</v>
      </c>
      <c r="BC28" s="175">
        <v>1042</v>
      </c>
      <c r="BD28" s="175">
        <v>998</v>
      </c>
      <c r="BE28" s="175">
        <f t="shared" si="15"/>
        <v>49</v>
      </c>
      <c r="BF28" s="175">
        <f t="shared" si="12"/>
        <v>8671.1093505490189</v>
      </c>
      <c r="BG28" s="177">
        <f t="shared" si="13"/>
        <v>41.583333333333336</v>
      </c>
      <c r="BH28" s="191">
        <v>0</v>
      </c>
      <c r="BI28" s="191">
        <v>0</v>
      </c>
      <c r="BJ28" s="181">
        <v>28.8</v>
      </c>
      <c r="BK28" s="192">
        <v>25.09</v>
      </c>
      <c r="BL28" s="192">
        <v>20.47</v>
      </c>
      <c r="BM28" s="192">
        <v>28.67</v>
      </c>
      <c r="BN28" s="195">
        <v>991.92</v>
      </c>
      <c r="BO28" s="181">
        <v>50.15</v>
      </c>
      <c r="BP28" s="193">
        <v>0.92759999999999998</v>
      </c>
      <c r="BQ28" s="194">
        <v>96.45</v>
      </c>
      <c r="BR28" s="194">
        <v>87.16</v>
      </c>
      <c r="BS28" s="194">
        <v>11860</v>
      </c>
      <c r="BT28" s="194">
        <v>11430</v>
      </c>
      <c r="BU28" s="51">
        <f t="shared" si="14"/>
        <v>-430</v>
      </c>
      <c r="BV28" s="175">
        <f t="shared" si="18"/>
        <v>0</v>
      </c>
      <c r="BW28" s="177">
        <v>0</v>
      </c>
      <c r="BX28" s="177">
        <v>0</v>
      </c>
      <c r="BZ28" s="177">
        <v>24</v>
      </c>
      <c r="CA28" s="177">
        <v>7.33</v>
      </c>
      <c r="CC28" s="177">
        <v>2</v>
      </c>
      <c r="CD28" s="177">
        <v>4.9000000000000004</v>
      </c>
      <c r="CE28" s="177">
        <v>2.1</v>
      </c>
      <c r="CF28" s="177">
        <v>-0.3</v>
      </c>
    </row>
    <row r="29" spans="1:84">
      <c r="A29" s="452"/>
      <c r="B29" s="24">
        <v>43363</v>
      </c>
      <c r="C29" s="157">
        <v>88.9</v>
      </c>
      <c r="D29" s="197">
        <v>0.61499999999999999</v>
      </c>
      <c r="E29" s="171">
        <v>74.3</v>
      </c>
      <c r="F29" s="160">
        <v>100</v>
      </c>
      <c r="G29" s="160">
        <v>79</v>
      </c>
      <c r="H29" s="356">
        <v>24</v>
      </c>
      <c r="I29" s="356">
        <v>0</v>
      </c>
      <c r="J29" s="356">
        <v>24</v>
      </c>
      <c r="K29" s="356">
        <v>0</v>
      </c>
      <c r="L29" s="357">
        <v>0</v>
      </c>
      <c r="M29" s="188">
        <v>0</v>
      </c>
      <c r="N29" s="188">
        <v>0</v>
      </c>
      <c r="O29" s="188">
        <v>0</v>
      </c>
      <c r="P29" s="188">
        <v>0</v>
      </c>
      <c r="Q29" s="262">
        <v>0</v>
      </c>
      <c r="R29" s="259">
        <v>3511</v>
      </c>
      <c r="S29" s="159">
        <v>3009</v>
      </c>
      <c r="T29" s="160">
        <v>3009</v>
      </c>
      <c r="U29" s="160">
        <v>2937</v>
      </c>
      <c r="V29" s="160">
        <v>3035</v>
      </c>
      <c r="W29" s="160">
        <v>41</v>
      </c>
      <c r="X29" s="160">
        <v>0</v>
      </c>
      <c r="Y29" s="160">
        <v>43</v>
      </c>
      <c r="Z29" s="188">
        <v>0</v>
      </c>
      <c r="AA29" s="188">
        <v>57</v>
      </c>
      <c r="AB29" s="188">
        <v>0</v>
      </c>
      <c r="AC29" s="165">
        <f t="shared" si="0"/>
        <v>98</v>
      </c>
      <c r="AD29" s="166">
        <f t="shared" si="1"/>
        <v>-72</v>
      </c>
      <c r="AE29" s="160">
        <v>130</v>
      </c>
      <c r="AF29" s="167">
        <f t="shared" si="16"/>
        <v>0.97275641025641024</v>
      </c>
      <c r="AG29" s="168">
        <f t="shared" si="3"/>
        <v>146.29166666666666</v>
      </c>
      <c r="AH29" s="167">
        <f t="shared" si="17"/>
        <v>0.8365138137282826</v>
      </c>
      <c r="AI29" s="169">
        <f t="shared" si="19"/>
        <v>1</v>
      </c>
      <c r="AJ29" s="170">
        <f>IF(U29&gt;0,(1440-((X29*W29+AT29*AU29)+(Z29*Y29+AV29*AW29)+(AA29*AB29+AX29*AY29))/(W29+Y29+AA29))/1440,"no data")</f>
        <v>0.8936170212765957</v>
      </c>
      <c r="AK29" s="306">
        <v>8.5850000000000009</v>
      </c>
      <c r="AL29" s="307">
        <v>183.69</v>
      </c>
      <c r="AM29" s="275">
        <f t="shared" si="7"/>
        <v>1576.9786500000002</v>
      </c>
      <c r="AN29" s="306">
        <v>23.879000000000001</v>
      </c>
      <c r="AO29" s="331">
        <v>999.15284067043513</v>
      </c>
      <c r="AP29" s="172">
        <f t="shared" si="8"/>
        <v>23858.770682369322</v>
      </c>
      <c r="AQ29" s="202">
        <f t="shared" si="9"/>
        <v>8660.4526157198925</v>
      </c>
      <c r="AR29" s="199">
        <f t="shared" si="10"/>
        <v>125.375</v>
      </c>
      <c r="AS29" s="13"/>
      <c r="AT29" s="159">
        <v>0</v>
      </c>
      <c r="AU29" s="174">
        <v>0</v>
      </c>
      <c r="AV29" s="174">
        <v>0</v>
      </c>
      <c r="AW29" s="159">
        <v>0</v>
      </c>
      <c r="AX29" s="174">
        <v>15</v>
      </c>
      <c r="AY29" s="159">
        <v>1440</v>
      </c>
      <c r="AZ29" s="159">
        <v>0</v>
      </c>
      <c r="BA29" s="332"/>
      <c r="BB29" s="175">
        <v>994</v>
      </c>
      <c r="BC29" s="175">
        <v>1041</v>
      </c>
      <c r="BD29" s="175">
        <v>1000</v>
      </c>
      <c r="BE29" s="175">
        <f t="shared" si="15"/>
        <v>47</v>
      </c>
      <c r="BF29" s="175">
        <f t="shared" si="12"/>
        <v>8660.4526157198925</v>
      </c>
      <c r="BG29" s="177">
        <f t="shared" si="13"/>
        <v>41.666666666666664</v>
      </c>
      <c r="BH29" s="191">
        <v>0</v>
      </c>
      <c r="BI29" s="155">
        <v>0</v>
      </c>
      <c r="BJ29" s="260">
        <v>28.5</v>
      </c>
      <c r="BK29" s="181">
        <v>25.03</v>
      </c>
      <c r="BL29" s="192">
        <v>20.48</v>
      </c>
      <c r="BM29" s="195">
        <v>28.37</v>
      </c>
      <c r="BN29" s="192">
        <v>992.5</v>
      </c>
      <c r="BO29" s="192">
        <v>50.12</v>
      </c>
      <c r="BP29" s="193">
        <v>0.92459999999999998</v>
      </c>
      <c r="BQ29" s="194">
        <v>96.26</v>
      </c>
      <c r="BR29" s="181">
        <v>87.24</v>
      </c>
      <c r="BS29" s="194">
        <v>11830</v>
      </c>
      <c r="BT29" s="175">
        <v>11451</v>
      </c>
      <c r="BU29" s="51">
        <f t="shared" si="14"/>
        <v>-379</v>
      </c>
      <c r="BV29" s="175">
        <f t="shared" si="18"/>
        <v>0</v>
      </c>
      <c r="BW29" s="177">
        <v>0</v>
      </c>
      <c r="BX29" s="177">
        <v>0</v>
      </c>
      <c r="BZ29" s="177">
        <v>24</v>
      </c>
      <c r="CA29" s="177">
        <v>7.12</v>
      </c>
      <c r="CC29" s="177">
        <v>2</v>
      </c>
      <c r="CD29" s="177">
        <v>4.9000000000000004</v>
      </c>
      <c r="CE29" s="177">
        <v>2.1</v>
      </c>
      <c r="CF29" s="177">
        <v>-0.3</v>
      </c>
    </row>
    <row r="30" spans="1:84">
      <c r="A30" s="452"/>
      <c r="B30" s="24">
        <v>43364</v>
      </c>
      <c r="C30" s="157">
        <v>88.2</v>
      </c>
      <c r="D30" s="197">
        <v>0.65200000000000002</v>
      </c>
      <c r="E30" s="171">
        <v>75.510000000000005</v>
      </c>
      <c r="F30" s="160">
        <v>98</v>
      </c>
      <c r="G30" s="160">
        <v>79</v>
      </c>
      <c r="H30" s="160">
        <v>24</v>
      </c>
      <c r="I30" s="160">
        <v>0</v>
      </c>
      <c r="J30" s="160">
        <v>24</v>
      </c>
      <c r="K30" s="160">
        <v>0</v>
      </c>
      <c r="L30" s="187">
        <v>0</v>
      </c>
      <c r="M30" s="187">
        <v>0</v>
      </c>
      <c r="N30" s="187">
        <v>0</v>
      </c>
      <c r="O30" s="187">
        <v>0</v>
      </c>
      <c r="P30" s="187">
        <v>0</v>
      </c>
      <c r="Q30" s="262">
        <v>0</v>
      </c>
      <c r="R30" s="257">
        <v>3516</v>
      </c>
      <c r="S30" s="262">
        <v>2999</v>
      </c>
      <c r="T30" s="160">
        <v>2999</v>
      </c>
      <c r="U30" s="160">
        <v>2929</v>
      </c>
      <c r="V30" s="160">
        <v>3025</v>
      </c>
      <c r="W30" s="160">
        <v>41</v>
      </c>
      <c r="X30" s="160">
        <v>0</v>
      </c>
      <c r="Y30" s="160">
        <v>43</v>
      </c>
      <c r="Z30" s="187">
        <v>0</v>
      </c>
      <c r="AA30" s="187">
        <v>57</v>
      </c>
      <c r="AB30" s="187">
        <v>0</v>
      </c>
      <c r="AC30" s="165">
        <f t="shared" si="0"/>
        <v>96</v>
      </c>
      <c r="AD30" s="166">
        <f t="shared" si="1"/>
        <v>-70</v>
      </c>
      <c r="AE30" s="160">
        <v>129</v>
      </c>
      <c r="AF30" s="167">
        <f t="shared" si="16"/>
        <v>0.9770671834625323</v>
      </c>
      <c r="AG30" s="168">
        <f t="shared" si="3"/>
        <v>146.5</v>
      </c>
      <c r="AH30" s="167">
        <f t="shared" si="17"/>
        <v>0.83304891922639368</v>
      </c>
      <c r="AI30" s="169">
        <f t="shared" si="19"/>
        <v>1</v>
      </c>
      <c r="AJ30" s="170">
        <f t="shared" si="6"/>
        <v>0.88652482269503552</v>
      </c>
      <c r="AK30" s="306">
        <v>8.577</v>
      </c>
      <c r="AL30" s="307">
        <v>179.22</v>
      </c>
      <c r="AM30" s="171">
        <f t="shared" si="7"/>
        <v>1537.16994</v>
      </c>
      <c r="AN30" s="306">
        <v>24.091000000000001</v>
      </c>
      <c r="AO30" s="331">
        <v>994.6897634625908</v>
      </c>
      <c r="AP30" s="172">
        <f t="shared" si="8"/>
        <v>23963.071091577276</v>
      </c>
      <c r="AQ30" s="202">
        <f t="shared" si="9"/>
        <v>8706.125309517678</v>
      </c>
      <c r="AR30" s="199">
        <f t="shared" si="10"/>
        <v>124.95833333333333</v>
      </c>
      <c r="AS30" s="13"/>
      <c r="AT30" s="159">
        <v>0</v>
      </c>
      <c r="AU30" s="174">
        <v>0</v>
      </c>
      <c r="AV30" s="174">
        <v>0</v>
      </c>
      <c r="AW30" s="159">
        <v>0</v>
      </c>
      <c r="AX30" s="174">
        <v>16</v>
      </c>
      <c r="AY30" s="159">
        <v>1440</v>
      </c>
      <c r="AZ30" s="159">
        <v>0</v>
      </c>
      <c r="BA30" s="332"/>
      <c r="BB30" s="175">
        <v>992</v>
      </c>
      <c r="BC30" s="175">
        <v>1038</v>
      </c>
      <c r="BD30" s="175">
        <v>995</v>
      </c>
      <c r="BE30" s="175">
        <f t="shared" si="15"/>
        <v>46</v>
      </c>
      <c r="BF30" s="175">
        <f t="shared" si="12"/>
        <v>8706.125309517678</v>
      </c>
      <c r="BG30" s="177">
        <f t="shared" si="13"/>
        <v>41.458333333333336</v>
      </c>
      <c r="BH30" s="191">
        <v>0</v>
      </c>
      <c r="BI30" s="155">
        <v>0</v>
      </c>
      <c r="BJ30" s="181">
        <v>28.46</v>
      </c>
      <c r="BK30" s="192">
        <v>25.23</v>
      </c>
      <c r="BL30" s="192">
        <v>20.68</v>
      </c>
      <c r="BM30" s="192">
        <v>28.43</v>
      </c>
      <c r="BN30" s="195">
        <v>994.83</v>
      </c>
      <c r="BO30" s="181">
        <v>50.13</v>
      </c>
      <c r="BP30" s="193">
        <v>0.9234</v>
      </c>
      <c r="BQ30" s="194">
        <v>96.34</v>
      </c>
      <c r="BR30" s="181">
        <v>87.34</v>
      </c>
      <c r="BS30" s="194">
        <v>11949</v>
      </c>
      <c r="BT30" s="175">
        <v>11555</v>
      </c>
      <c r="BU30" s="51">
        <f t="shared" si="14"/>
        <v>-394</v>
      </c>
      <c r="BV30" s="175">
        <f t="shared" si="18"/>
        <v>0</v>
      </c>
      <c r="BW30" s="177">
        <v>0</v>
      </c>
      <c r="BX30" s="177">
        <v>0</v>
      </c>
      <c r="BZ30" s="177">
        <v>24</v>
      </c>
      <c r="CA30" s="177">
        <v>7.38</v>
      </c>
      <c r="CC30" s="177">
        <v>2.1</v>
      </c>
      <c r="CD30" s="177">
        <v>5</v>
      </c>
      <c r="CE30" s="177">
        <v>2</v>
      </c>
      <c r="CF30" s="177">
        <v>0</v>
      </c>
    </row>
    <row r="31" spans="1:84">
      <c r="A31" s="452"/>
      <c r="B31" s="24">
        <v>43365</v>
      </c>
      <c r="C31" s="157">
        <v>85.4</v>
      </c>
      <c r="D31" s="197">
        <v>0.67300000000000004</v>
      </c>
      <c r="E31" s="171">
        <v>74.099999999999994</v>
      </c>
      <c r="F31" s="159">
        <v>96</v>
      </c>
      <c r="G31" s="159">
        <v>77</v>
      </c>
      <c r="H31" s="160">
        <v>22</v>
      </c>
      <c r="I31" s="160">
        <v>42</v>
      </c>
      <c r="J31" s="160">
        <v>24</v>
      </c>
      <c r="K31" s="160">
        <v>0</v>
      </c>
      <c r="L31" s="187">
        <v>0</v>
      </c>
      <c r="M31" s="187">
        <v>57</v>
      </c>
      <c r="N31" s="187">
        <v>0</v>
      </c>
      <c r="O31" s="187">
        <v>0</v>
      </c>
      <c r="P31" s="187">
        <v>0</v>
      </c>
      <c r="Q31" s="262">
        <v>0</v>
      </c>
      <c r="R31" s="259">
        <v>3546</v>
      </c>
      <c r="S31" s="262">
        <v>3021</v>
      </c>
      <c r="T31" s="159">
        <v>2945</v>
      </c>
      <c r="U31" s="159">
        <v>2887</v>
      </c>
      <c r="V31" s="160">
        <v>2981</v>
      </c>
      <c r="W31" s="160">
        <v>42</v>
      </c>
      <c r="X31" s="160">
        <v>0</v>
      </c>
      <c r="Y31" s="160">
        <v>43</v>
      </c>
      <c r="Z31" s="187">
        <v>0</v>
      </c>
      <c r="AA31" s="187">
        <v>57</v>
      </c>
      <c r="AB31" s="187">
        <v>0</v>
      </c>
      <c r="AC31" s="165">
        <f t="shared" si="0"/>
        <v>94</v>
      </c>
      <c r="AD31" s="166">
        <f t="shared" si="1"/>
        <v>-58</v>
      </c>
      <c r="AE31" s="160">
        <v>130</v>
      </c>
      <c r="AF31" s="167">
        <f t="shared" si="16"/>
        <v>0.955448717948718</v>
      </c>
      <c r="AG31" s="168">
        <f t="shared" si="3"/>
        <v>147.75</v>
      </c>
      <c r="AH31" s="167">
        <f t="shared" si="17"/>
        <v>0.81415679639029892</v>
      </c>
      <c r="AI31" s="169">
        <f t="shared" si="19"/>
        <v>1</v>
      </c>
      <c r="AJ31" s="170">
        <f t="shared" si="6"/>
        <v>0.87863849765258217</v>
      </c>
      <c r="AK31" s="306">
        <v>8.5649999999999995</v>
      </c>
      <c r="AL31" s="307">
        <v>171.4</v>
      </c>
      <c r="AM31" s="275">
        <f t="shared" si="7"/>
        <v>1468.0409999999999</v>
      </c>
      <c r="AN31" s="306">
        <v>23.715</v>
      </c>
      <c r="AO31" s="331">
        <v>992.41242571795635</v>
      </c>
      <c r="AP31" s="172">
        <f t="shared" si="8"/>
        <v>23535.060675901335</v>
      </c>
      <c r="AQ31" s="202">
        <f t="shared" si="9"/>
        <v>8660.5824994462546</v>
      </c>
      <c r="AR31" s="199">
        <f t="shared" si="10"/>
        <v>125.875</v>
      </c>
      <c r="AS31" s="13"/>
      <c r="AT31" s="159">
        <v>16</v>
      </c>
      <c r="AU31" s="174">
        <v>21</v>
      </c>
      <c r="AV31" s="159">
        <v>0</v>
      </c>
      <c r="AW31" s="159">
        <v>0</v>
      </c>
      <c r="AX31" s="174">
        <v>17</v>
      </c>
      <c r="AY31" s="159">
        <v>1440</v>
      </c>
      <c r="AZ31" s="159">
        <v>0</v>
      </c>
      <c r="BA31" s="332"/>
      <c r="BB31" s="175">
        <v>952</v>
      </c>
      <c r="BC31" s="175">
        <v>1048</v>
      </c>
      <c r="BD31" s="175">
        <v>981</v>
      </c>
      <c r="BE31" s="175">
        <f t="shared" si="15"/>
        <v>96</v>
      </c>
      <c r="BF31" s="175">
        <f t="shared" si="12"/>
        <v>8660.5824994462546</v>
      </c>
      <c r="BG31" s="177">
        <f t="shared" si="13"/>
        <v>40.875</v>
      </c>
      <c r="BH31" s="191">
        <v>0</v>
      </c>
      <c r="BI31" s="155">
        <v>0</v>
      </c>
      <c r="BJ31" s="181">
        <v>29.14</v>
      </c>
      <c r="BK31" s="192">
        <v>24.18</v>
      </c>
      <c r="BL31" s="192">
        <v>20.87</v>
      </c>
      <c r="BM31" s="192">
        <v>28.4</v>
      </c>
      <c r="BN31" s="192">
        <v>996.63</v>
      </c>
      <c r="BO31" s="192">
        <v>50.12</v>
      </c>
      <c r="BP31" s="193">
        <v>0.92330000000000001</v>
      </c>
      <c r="BQ31" s="192">
        <v>96.53</v>
      </c>
      <c r="BR31" s="181">
        <v>87.23</v>
      </c>
      <c r="BS31" s="175">
        <v>11895</v>
      </c>
      <c r="BT31" s="175">
        <v>11502</v>
      </c>
      <c r="BU31" s="51">
        <f t="shared" si="14"/>
        <v>-393</v>
      </c>
      <c r="BV31" s="175">
        <f t="shared" si="18"/>
        <v>0</v>
      </c>
      <c r="BW31" s="177">
        <v>0</v>
      </c>
      <c r="BX31" s="177">
        <v>0</v>
      </c>
      <c r="BZ31" s="177">
        <v>22.42</v>
      </c>
      <c r="CA31" s="177">
        <v>6.6</v>
      </c>
      <c r="CC31" s="177">
        <v>2.1</v>
      </c>
      <c r="CD31" s="177">
        <v>4.8</v>
      </c>
      <c r="CE31" s="177">
        <v>2.1</v>
      </c>
      <c r="CF31" s="177">
        <v>0</v>
      </c>
    </row>
    <row r="32" spans="1:84">
      <c r="A32" s="453"/>
      <c r="B32" s="24">
        <v>43366</v>
      </c>
      <c r="C32" s="157">
        <v>81.5</v>
      </c>
      <c r="D32" s="197">
        <v>0.70399999999999996</v>
      </c>
      <c r="E32" s="171">
        <v>72.5</v>
      </c>
      <c r="F32" s="159">
        <v>92</v>
      </c>
      <c r="G32" s="159">
        <v>73</v>
      </c>
      <c r="H32" s="160">
        <v>0</v>
      </c>
      <c r="I32" s="160">
        <v>0</v>
      </c>
      <c r="J32" s="160">
        <v>24</v>
      </c>
      <c r="K32" s="160">
        <v>0</v>
      </c>
      <c r="L32" s="187">
        <v>24</v>
      </c>
      <c r="M32" s="187">
        <v>0</v>
      </c>
      <c r="N32" s="187">
        <v>0</v>
      </c>
      <c r="O32" s="187">
        <v>0</v>
      </c>
      <c r="P32" s="187">
        <v>0</v>
      </c>
      <c r="Q32" s="262">
        <v>0</v>
      </c>
      <c r="R32" s="257">
        <v>3581</v>
      </c>
      <c r="S32" s="262">
        <v>3024</v>
      </c>
      <c r="T32" s="262">
        <v>1459</v>
      </c>
      <c r="U32" s="262">
        <v>1455</v>
      </c>
      <c r="V32" s="263">
        <v>1532</v>
      </c>
      <c r="W32" s="160">
        <v>42</v>
      </c>
      <c r="X32" s="160">
        <v>0</v>
      </c>
      <c r="Y32" s="160">
        <v>44</v>
      </c>
      <c r="Z32" s="187">
        <v>0</v>
      </c>
      <c r="AA32" s="187">
        <v>57</v>
      </c>
      <c r="AB32" s="187">
        <v>0</v>
      </c>
      <c r="AC32" s="165">
        <f t="shared" si="0"/>
        <v>77</v>
      </c>
      <c r="AD32" s="166">
        <f t="shared" si="1"/>
        <v>-4</v>
      </c>
      <c r="AE32" s="159">
        <v>66</v>
      </c>
      <c r="AF32" s="167">
        <f t="shared" si="16"/>
        <v>0.96717171717171713</v>
      </c>
      <c r="AG32" s="168">
        <f t="shared" si="3"/>
        <v>149.20833333333334</v>
      </c>
      <c r="AH32" s="167">
        <f t="shared" si="17"/>
        <v>0.40631108628874618</v>
      </c>
      <c r="AI32" s="169">
        <f t="shared" si="19"/>
        <v>1</v>
      </c>
      <c r="AJ32" s="170">
        <f t="shared" si="6"/>
        <v>0.81118881118881125</v>
      </c>
      <c r="AK32" s="306">
        <v>8.5180000000000007</v>
      </c>
      <c r="AL32" s="307">
        <v>170.56</v>
      </c>
      <c r="AM32" s="275">
        <f t="shared" si="7"/>
        <v>1452.8300800000002</v>
      </c>
      <c r="AN32" s="306">
        <v>11.327</v>
      </c>
      <c r="AO32" s="331">
        <v>993.34366249134655</v>
      </c>
      <c r="AP32" s="172">
        <f t="shared" si="8"/>
        <v>11251.603665039482</v>
      </c>
      <c r="AQ32" s="202">
        <f t="shared" si="9"/>
        <v>8731.5695842195746</v>
      </c>
      <c r="AR32" s="199">
        <f t="shared" si="10"/>
        <v>126</v>
      </c>
      <c r="AS32" s="13"/>
      <c r="AT32" s="159">
        <v>0</v>
      </c>
      <c r="AU32" s="174">
        <v>0</v>
      </c>
      <c r="AV32" s="174">
        <v>0</v>
      </c>
      <c r="AW32" s="159">
        <v>0</v>
      </c>
      <c r="AX32" s="174">
        <v>27</v>
      </c>
      <c r="AY32" s="159">
        <v>1440</v>
      </c>
      <c r="AZ32" s="159">
        <v>0</v>
      </c>
      <c r="BA32" s="332"/>
      <c r="BB32" s="175">
        <v>0</v>
      </c>
      <c r="BC32" s="175">
        <v>1062</v>
      </c>
      <c r="BD32" s="175">
        <v>470</v>
      </c>
      <c r="BE32" s="175">
        <f t="shared" si="15"/>
        <v>1062</v>
      </c>
      <c r="BF32" s="175">
        <f t="shared" si="12"/>
        <v>8731.5695842195746</v>
      </c>
      <c r="BG32" s="177">
        <f t="shared" si="13"/>
        <v>19.583333333333332</v>
      </c>
      <c r="BH32" s="191">
        <v>0</v>
      </c>
      <c r="BI32" s="155">
        <v>0</v>
      </c>
      <c r="BJ32" s="181">
        <v>0</v>
      </c>
      <c r="BK32" s="192">
        <v>0</v>
      </c>
      <c r="BL32" s="192">
        <v>21.2</v>
      </c>
      <c r="BM32" s="192">
        <v>28.5</v>
      </c>
      <c r="BN32" s="179">
        <v>996.88</v>
      </c>
      <c r="BO32" s="181">
        <v>50.11</v>
      </c>
      <c r="BP32" s="193">
        <v>0.92210000000000003</v>
      </c>
      <c r="BQ32" s="192" t="s">
        <v>288</v>
      </c>
      <c r="BR32" s="181">
        <v>87.13</v>
      </c>
      <c r="BS32" s="175" t="s">
        <v>288</v>
      </c>
      <c r="BT32" s="175">
        <v>11504</v>
      </c>
      <c r="BU32" s="51" t="s">
        <v>288</v>
      </c>
      <c r="BV32" s="175">
        <f t="shared" si="18"/>
        <v>0</v>
      </c>
      <c r="BW32" s="177">
        <v>0</v>
      </c>
      <c r="BX32" s="177">
        <v>0</v>
      </c>
      <c r="BZ32" s="177">
        <v>0</v>
      </c>
      <c r="CA32" s="177">
        <v>2.78</v>
      </c>
      <c r="CC32" s="177" t="s">
        <v>288</v>
      </c>
      <c r="CD32" s="177" t="s">
        <v>288</v>
      </c>
      <c r="CE32" s="177">
        <v>2.1</v>
      </c>
      <c r="CF32" s="177">
        <v>0</v>
      </c>
    </row>
    <row r="33" spans="1:84" ht="15" customHeight="1">
      <c r="A33" s="529" t="s">
        <v>277</v>
      </c>
      <c r="B33" s="24">
        <v>43367</v>
      </c>
      <c r="C33" s="280">
        <v>82.5</v>
      </c>
      <c r="D33" s="281">
        <v>0.72899999999999998</v>
      </c>
      <c r="E33" s="282">
        <v>74.2</v>
      </c>
      <c r="F33" s="223">
        <v>93</v>
      </c>
      <c r="G33" s="223">
        <v>74</v>
      </c>
      <c r="H33" s="283">
        <v>15</v>
      </c>
      <c r="I33" s="283">
        <v>30</v>
      </c>
      <c r="J33" s="283">
        <v>24</v>
      </c>
      <c r="K33" s="283">
        <v>0</v>
      </c>
      <c r="L33" s="284">
        <v>7</v>
      </c>
      <c r="M33" s="284">
        <v>31</v>
      </c>
      <c r="N33" s="284">
        <v>0</v>
      </c>
      <c r="O33" s="284">
        <v>0</v>
      </c>
      <c r="P33" s="284">
        <v>15</v>
      </c>
      <c r="Q33" s="286">
        <v>20</v>
      </c>
      <c r="R33" s="285">
        <v>3569</v>
      </c>
      <c r="S33" s="286">
        <v>3448</v>
      </c>
      <c r="T33" s="286">
        <v>2731</v>
      </c>
      <c r="U33" s="286">
        <v>2678</v>
      </c>
      <c r="V33" s="287">
        <v>2782</v>
      </c>
      <c r="W33" s="283">
        <v>42</v>
      </c>
      <c r="X33" s="283">
        <v>0</v>
      </c>
      <c r="Y33" s="283">
        <v>44</v>
      </c>
      <c r="Z33" s="288">
        <v>0</v>
      </c>
      <c r="AA33" s="288">
        <v>57</v>
      </c>
      <c r="AB33" s="284">
        <v>0</v>
      </c>
      <c r="AC33" s="221">
        <f t="shared" si="0"/>
        <v>104</v>
      </c>
      <c r="AD33" s="222">
        <f t="shared" si="1"/>
        <v>-53</v>
      </c>
      <c r="AE33" s="223">
        <v>145</v>
      </c>
      <c r="AF33" s="224">
        <f t="shared" si="16"/>
        <v>0.79942528735632179</v>
      </c>
      <c r="AG33" s="225">
        <f t="shared" si="3"/>
        <v>148.70833333333334</v>
      </c>
      <c r="AH33" s="224">
        <f t="shared" si="17"/>
        <v>0.75035023816195012</v>
      </c>
      <c r="AI33" s="226">
        <f t="shared" si="19"/>
        <v>1</v>
      </c>
      <c r="AJ33" s="227">
        <f t="shared" si="6"/>
        <v>0.90054875679875679</v>
      </c>
      <c r="AK33" s="271">
        <v>8.4740000000000002</v>
      </c>
      <c r="AL33" s="272">
        <v>167.56</v>
      </c>
      <c r="AM33" s="282">
        <f t="shared" si="7"/>
        <v>1419.90344</v>
      </c>
      <c r="AN33" s="271">
        <v>22.117999999999999</v>
      </c>
      <c r="AO33" s="320">
        <v>992.82550930026582</v>
      </c>
      <c r="AP33" s="290">
        <f t="shared" si="8"/>
        <v>21959.314614703278</v>
      </c>
      <c r="AQ33" s="228">
        <f t="shared" si="9"/>
        <v>8730.1038292394605</v>
      </c>
      <c r="AR33" s="229">
        <f t="shared" si="10"/>
        <v>143.66666666666666</v>
      </c>
      <c r="AS33" s="291"/>
      <c r="AT33" s="223">
        <v>21</v>
      </c>
      <c r="AU33" s="292">
        <v>59</v>
      </c>
      <c r="AV33" s="292">
        <v>0</v>
      </c>
      <c r="AW33" s="223">
        <v>0</v>
      </c>
      <c r="AX33" s="292">
        <v>37</v>
      </c>
      <c r="AY33" s="223">
        <v>520</v>
      </c>
      <c r="AZ33" s="223">
        <v>0</v>
      </c>
      <c r="BA33" s="332"/>
      <c r="BB33" s="242">
        <v>659</v>
      </c>
      <c r="BC33" s="242">
        <v>1054</v>
      </c>
      <c r="BD33" s="242">
        <v>1069</v>
      </c>
      <c r="BE33" s="242">
        <f t="shared" si="15"/>
        <v>395</v>
      </c>
      <c r="BF33" s="242">
        <f t="shared" si="12"/>
        <v>8730.1038292394605</v>
      </c>
      <c r="BG33" s="294">
        <f t="shared" si="13"/>
        <v>44.541666666666664</v>
      </c>
      <c r="BH33" s="295">
        <v>1.415</v>
      </c>
      <c r="BI33" s="296">
        <v>1.415</v>
      </c>
      <c r="BJ33" s="297">
        <v>14</v>
      </c>
      <c r="BK33" s="298">
        <v>17.04</v>
      </c>
      <c r="BL33" s="298">
        <v>21.13</v>
      </c>
      <c r="BM33" s="298">
        <v>28.34</v>
      </c>
      <c r="BN33" s="299">
        <v>996</v>
      </c>
      <c r="BO33" s="298">
        <v>50.09</v>
      </c>
      <c r="BP33" s="300">
        <v>0.92249999999999999</v>
      </c>
      <c r="BQ33" s="298">
        <v>95.71</v>
      </c>
      <c r="BR33" s="297">
        <v>86.99</v>
      </c>
      <c r="BS33" s="242">
        <v>11947</v>
      </c>
      <c r="BT33" s="242">
        <v>11563</v>
      </c>
      <c r="BU33" s="301">
        <f t="shared" si="14"/>
        <v>-384</v>
      </c>
      <c r="BV33" s="242">
        <f t="shared" si="18"/>
        <v>2.83</v>
      </c>
      <c r="BW33" s="302">
        <v>15.98</v>
      </c>
      <c r="BX33" s="302">
        <v>8.58</v>
      </c>
      <c r="BZ33" s="302">
        <v>14</v>
      </c>
      <c r="CA33" s="302">
        <v>4.93</v>
      </c>
      <c r="CC33" s="302">
        <v>2.1</v>
      </c>
      <c r="CD33" s="302">
        <v>4.9000000000000004</v>
      </c>
      <c r="CE33" s="302">
        <v>2.1</v>
      </c>
      <c r="CF33" s="302">
        <v>-0.4</v>
      </c>
    </row>
    <row r="34" spans="1:84">
      <c r="A34" s="530"/>
      <c r="B34" s="24">
        <v>43368</v>
      </c>
      <c r="C34" s="280">
        <v>83.54</v>
      </c>
      <c r="D34" s="281">
        <v>0.69520000000000004</v>
      </c>
      <c r="E34" s="282">
        <v>73.23</v>
      </c>
      <c r="F34" s="223">
        <v>94</v>
      </c>
      <c r="G34" s="223">
        <v>75</v>
      </c>
      <c r="H34" s="283">
        <v>22</v>
      </c>
      <c r="I34" s="283">
        <v>3</v>
      </c>
      <c r="J34" s="283">
        <v>24</v>
      </c>
      <c r="K34" s="283">
        <v>0</v>
      </c>
      <c r="L34" s="284">
        <v>1</v>
      </c>
      <c r="M34" s="284">
        <v>41</v>
      </c>
      <c r="N34" s="284">
        <v>0</v>
      </c>
      <c r="O34" s="284">
        <v>0</v>
      </c>
      <c r="P34" s="284">
        <v>11</v>
      </c>
      <c r="Q34" s="286">
        <v>2</v>
      </c>
      <c r="R34" s="285">
        <v>3566</v>
      </c>
      <c r="S34" s="286">
        <v>3278</v>
      </c>
      <c r="T34" s="286">
        <v>3127</v>
      </c>
      <c r="U34" s="286">
        <v>3055</v>
      </c>
      <c r="V34" s="287">
        <v>3159</v>
      </c>
      <c r="W34" s="283">
        <v>42</v>
      </c>
      <c r="X34" s="283">
        <v>0</v>
      </c>
      <c r="Y34" s="283">
        <v>44</v>
      </c>
      <c r="Z34" s="288">
        <v>0</v>
      </c>
      <c r="AA34" s="288">
        <v>57</v>
      </c>
      <c r="AB34" s="284">
        <v>0</v>
      </c>
      <c r="AC34" s="221">
        <f t="shared" si="0"/>
        <v>104</v>
      </c>
      <c r="AD34" s="222">
        <f>U34-T34</f>
        <v>-72</v>
      </c>
      <c r="AE34" s="223">
        <v>146</v>
      </c>
      <c r="AF34" s="224">
        <f t="shared" si="16"/>
        <v>0.90154109589041098</v>
      </c>
      <c r="AG34" s="225">
        <f t="shared" si="3"/>
        <v>148.58333333333334</v>
      </c>
      <c r="AH34" s="224">
        <f t="shared" si="17"/>
        <v>0.85670218732473358</v>
      </c>
      <c r="AI34" s="226">
        <f t="shared" si="19"/>
        <v>1</v>
      </c>
      <c r="AJ34" s="227">
        <f>IF(U34&gt;0,(1440-((X34*W34+AT34*AU34)+(Z34*Y34+AV34*AW34)+(AA34*AB34+AX34*AY34))/(W34+Y34+AA34))/1440,"no data")</f>
        <v>0.9383061383061384</v>
      </c>
      <c r="AK34" s="271">
        <v>8.5120000000000005</v>
      </c>
      <c r="AL34" s="272">
        <v>167.66</v>
      </c>
      <c r="AM34" s="282">
        <f t="shared" si="7"/>
        <v>1427.12192</v>
      </c>
      <c r="AN34" s="271">
        <v>25.132999999999999</v>
      </c>
      <c r="AO34" s="320">
        <v>1001.0742848048383</v>
      </c>
      <c r="AP34" s="290">
        <f t="shared" si="8"/>
        <v>25160</v>
      </c>
      <c r="AQ34" s="228">
        <f t="shared" si="9"/>
        <v>8702.8222324058916</v>
      </c>
      <c r="AR34" s="229">
        <f t="shared" si="10"/>
        <v>136.58333333333334</v>
      </c>
      <c r="AS34" s="291"/>
      <c r="AT34" s="223">
        <v>16</v>
      </c>
      <c r="AU34" s="292">
        <v>16</v>
      </c>
      <c r="AV34" s="292">
        <v>0</v>
      </c>
      <c r="AW34" s="223">
        <v>0</v>
      </c>
      <c r="AX34" s="292">
        <v>16</v>
      </c>
      <c r="AY34" s="223">
        <v>778</v>
      </c>
      <c r="AZ34" s="223">
        <v>0</v>
      </c>
      <c r="BA34" s="332"/>
      <c r="BB34" s="242">
        <v>928</v>
      </c>
      <c r="BC34" s="242">
        <v>1056</v>
      </c>
      <c r="BD34" s="242">
        <v>1175</v>
      </c>
      <c r="BE34" s="242">
        <f t="shared" si="15"/>
        <v>128</v>
      </c>
      <c r="BF34" s="242">
        <f t="shared" si="12"/>
        <v>8702.8222324058916</v>
      </c>
      <c r="BG34" s="294">
        <f t="shared" si="13"/>
        <v>48.958333333333336</v>
      </c>
      <c r="BH34" s="295">
        <v>1.103</v>
      </c>
      <c r="BI34" s="296">
        <v>1.093</v>
      </c>
      <c r="BJ34" s="297">
        <v>29.46</v>
      </c>
      <c r="BK34" s="298">
        <v>23.39</v>
      </c>
      <c r="BL34" s="298">
        <v>20.98</v>
      </c>
      <c r="BM34" s="298">
        <v>28.32</v>
      </c>
      <c r="BN34" s="299">
        <v>995.4</v>
      </c>
      <c r="BO34" s="298">
        <v>50.09</v>
      </c>
      <c r="BP34" s="300">
        <v>0.92190000000000005</v>
      </c>
      <c r="BQ34" s="298">
        <v>96.89</v>
      </c>
      <c r="BR34" s="297">
        <v>86.99</v>
      </c>
      <c r="BS34" s="242">
        <v>11806</v>
      </c>
      <c r="BT34" s="242">
        <v>11475</v>
      </c>
      <c r="BU34" s="301">
        <f t="shared" si="14"/>
        <v>-331</v>
      </c>
      <c r="BV34" s="242">
        <f t="shared" si="18"/>
        <v>2.1959999999999997</v>
      </c>
      <c r="BW34" s="302">
        <v>22.08</v>
      </c>
      <c r="BX34" s="302">
        <v>24</v>
      </c>
      <c r="BZ34" s="302">
        <v>22.07</v>
      </c>
      <c r="CA34" s="302">
        <v>7.58</v>
      </c>
      <c r="CC34" s="302">
        <v>2.1</v>
      </c>
      <c r="CD34" s="302">
        <v>4.9000000000000004</v>
      </c>
      <c r="CE34" s="302">
        <v>2</v>
      </c>
      <c r="CF34" s="302">
        <v>0</v>
      </c>
    </row>
    <row r="35" spans="1:84">
      <c r="A35" s="530"/>
      <c r="B35" s="24">
        <v>43369</v>
      </c>
      <c r="C35" s="280">
        <v>85.37</v>
      </c>
      <c r="D35" s="281">
        <v>0.69399999999999995</v>
      </c>
      <c r="E35" s="282">
        <v>74.75</v>
      </c>
      <c r="F35" s="223">
        <v>98</v>
      </c>
      <c r="G35" s="223">
        <v>75</v>
      </c>
      <c r="H35" s="283">
        <v>4</v>
      </c>
      <c r="I35" s="283">
        <v>58</v>
      </c>
      <c r="J35" s="283">
        <v>24</v>
      </c>
      <c r="K35" s="283">
        <v>0</v>
      </c>
      <c r="L35" s="284">
        <v>18</v>
      </c>
      <c r="M35" s="284">
        <v>6</v>
      </c>
      <c r="N35" s="284">
        <v>0</v>
      </c>
      <c r="O35" s="284">
        <v>0</v>
      </c>
      <c r="P35" s="284">
        <v>0</v>
      </c>
      <c r="Q35" s="286">
        <v>0</v>
      </c>
      <c r="R35" s="285">
        <v>3545</v>
      </c>
      <c r="S35" s="286">
        <v>3331</v>
      </c>
      <c r="T35" s="286">
        <v>1873</v>
      </c>
      <c r="U35" s="286">
        <v>1867</v>
      </c>
      <c r="V35" s="287">
        <v>1952</v>
      </c>
      <c r="W35" s="283">
        <v>42</v>
      </c>
      <c r="X35" s="283">
        <v>0</v>
      </c>
      <c r="Y35" s="283">
        <v>44</v>
      </c>
      <c r="Z35" s="288">
        <v>0</v>
      </c>
      <c r="AA35" s="288">
        <v>57</v>
      </c>
      <c r="AB35" s="284">
        <v>0</v>
      </c>
      <c r="AC35" s="221">
        <f t="shared" si="0"/>
        <v>85</v>
      </c>
      <c r="AD35" s="222">
        <f>U35-T35</f>
        <v>-6</v>
      </c>
      <c r="AE35" s="223">
        <v>131</v>
      </c>
      <c r="AF35" s="224">
        <f t="shared" si="16"/>
        <v>0.62086513994910941</v>
      </c>
      <c r="AG35" s="225">
        <f t="shared" si="3"/>
        <v>147.70833333333334</v>
      </c>
      <c r="AH35" s="224">
        <f t="shared" si="17"/>
        <v>0.52665726375176303</v>
      </c>
      <c r="AI35" s="226">
        <f t="shared" si="19"/>
        <v>1</v>
      </c>
      <c r="AJ35" s="227">
        <f t="shared" si="6"/>
        <v>0.79848484848484846</v>
      </c>
      <c r="AK35" s="271">
        <v>8.4920000000000009</v>
      </c>
      <c r="AL35" s="272">
        <v>172.45</v>
      </c>
      <c r="AM35" s="282">
        <f t="shared" si="7"/>
        <v>1464.4454000000001</v>
      </c>
      <c r="AN35" s="271">
        <v>14.775</v>
      </c>
      <c r="AO35" s="320">
        <v>1005.9876255738141</v>
      </c>
      <c r="AP35" s="290">
        <f t="shared" si="8"/>
        <v>14863.467167853103</v>
      </c>
      <c r="AQ35" s="228">
        <f t="shared" si="9"/>
        <v>8745.5343159363165</v>
      </c>
      <c r="AR35" s="229">
        <f t="shared" si="10"/>
        <v>138.79166666666666</v>
      </c>
      <c r="AS35" s="291"/>
      <c r="AT35" s="223">
        <v>21</v>
      </c>
      <c r="AU35" s="292">
        <v>56</v>
      </c>
      <c r="AV35" s="292">
        <v>0</v>
      </c>
      <c r="AW35" s="223">
        <v>0</v>
      </c>
      <c r="AX35" s="292">
        <v>28</v>
      </c>
      <c r="AY35" s="223">
        <v>1440</v>
      </c>
      <c r="AZ35" s="223">
        <v>0</v>
      </c>
      <c r="BA35" s="332"/>
      <c r="BB35" s="242">
        <v>220</v>
      </c>
      <c r="BC35" s="242">
        <v>1047</v>
      </c>
      <c r="BD35" s="242">
        <v>685</v>
      </c>
      <c r="BE35" s="242">
        <f t="shared" si="15"/>
        <v>827</v>
      </c>
      <c r="BF35" s="242">
        <f t="shared" si="12"/>
        <v>8745.5343159363165</v>
      </c>
      <c r="BG35" s="294">
        <f t="shared" si="13"/>
        <v>28.541666666666668</v>
      </c>
      <c r="BH35" s="295">
        <v>7.8E-2</v>
      </c>
      <c r="BI35" s="296">
        <v>1.002</v>
      </c>
      <c r="BJ35" s="297">
        <v>29.27</v>
      </c>
      <c r="BK35" s="298">
        <v>6</v>
      </c>
      <c r="BL35" s="298">
        <v>20.74</v>
      </c>
      <c r="BM35" s="298">
        <v>27.8</v>
      </c>
      <c r="BN35" s="299">
        <v>999.5</v>
      </c>
      <c r="BO35" s="298">
        <v>50.09</v>
      </c>
      <c r="BP35" s="300">
        <v>0.92030000000000001</v>
      </c>
      <c r="BQ35" s="298">
        <v>95.31</v>
      </c>
      <c r="BR35" s="297">
        <v>87.02</v>
      </c>
      <c r="BS35" s="242">
        <v>11844</v>
      </c>
      <c r="BT35" s="242">
        <v>11443</v>
      </c>
      <c r="BU35" s="301">
        <f t="shared" si="14"/>
        <v>-401</v>
      </c>
      <c r="BV35" s="242">
        <f t="shared" si="18"/>
        <v>1.08</v>
      </c>
      <c r="BW35" s="302">
        <v>3.33</v>
      </c>
      <c r="BX35" s="302">
        <v>24</v>
      </c>
      <c r="BZ35" s="302">
        <v>4.2</v>
      </c>
      <c r="CA35" s="302">
        <v>4.47</v>
      </c>
      <c r="CC35" s="302">
        <v>2</v>
      </c>
      <c r="CD35" s="302">
        <v>4.25</v>
      </c>
      <c r="CE35" s="302">
        <v>2.1</v>
      </c>
      <c r="CF35" s="302">
        <v>0</v>
      </c>
    </row>
    <row r="36" spans="1:84">
      <c r="A36" s="530"/>
      <c r="B36" s="24">
        <v>43370</v>
      </c>
      <c r="C36" s="280">
        <v>88.2</v>
      </c>
      <c r="D36" s="281">
        <v>0.60399999999999998</v>
      </c>
      <c r="E36" s="282">
        <v>73.5</v>
      </c>
      <c r="F36" s="223">
        <v>102</v>
      </c>
      <c r="G36" s="223">
        <v>77</v>
      </c>
      <c r="H36" s="283">
        <v>0</v>
      </c>
      <c r="I36" s="283">
        <v>0</v>
      </c>
      <c r="J36" s="283">
        <v>24</v>
      </c>
      <c r="K36" s="283">
        <v>0</v>
      </c>
      <c r="L36" s="284">
        <v>24</v>
      </c>
      <c r="M36" s="284">
        <v>0</v>
      </c>
      <c r="N36" s="284">
        <v>0</v>
      </c>
      <c r="O36" s="284">
        <v>0</v>
      </c>
      <c r="P36" s="284">
        <v>0</v>
      </c>
      <c r="Q36" s="286">
        <v>0</v>
      </c>
      <c r="R36" s="285">
        <v>3517</v>
      </c>
      <c r="S36" s="286">
        <v>3093</v>
      </c>
      <c r="T36" s="286">
        <v>1608</v>
      </c>
      <c r="U36" s="286">
        <v>1608</v>
      </c>
      <c r="V36" s="287">
        <v>1687</v>
      </c>
      <c r="W36" s="283">
        <v>42</v>
      </c>
      <c r="X36" s="283">
        <v>0</v>
      </c>
      <c r="Y36" s="283">
        <v>44</v>
      </c>
      <c r="Z36" s="288">
        <v>0</v>
      </c>
      <c r="AA36" s="288">
        <v>57</v>
      </c>
      <c r="AB36" s="284">
        <v>0</v>
      </c>
      <c r="AC36" s="221">
        <f t="shared" si="0"/>
        <v>79</v>
      </c>
      <c r="AD36" s="222">
        <f t="shared" si="1"/>
        <v>0</v>
      </c>
      <c r="AE36" s="223">
        <v>72</v>
      </c>
      <c r="AF36" s="224">
        <f t="shared" si="16"/>
        <v>0.97627314814814814</v>
      </c>
      <c r="AG36" s="225">
        <f t="shared" si="3"/>
        <v>146.54166666666666</v>
      </c>
      <c r="AH36" s="224">
        <f t="shared" si="17"/>
        <v>0.45720784759738414</v>
      </c>
      <c r="AI36" s="226">
        <f t="shared" si="19"/>
        <v>1</v>
      </c>
      <c r="AJ36" s="227">
        <f t="shared" si="6"/>
        <v>0.79020979020979021</v>
      </c>
      <c r="AK36" s="271">
        <v>8.51</v>
      </c>
      <c r="AL36" s="372">
        <v>168.8</v>
      </c>
      <c r="AM36" s="282">
        <f t="shared" si="7"/>
        <v>1436.4880000000001</v>
      </c>
      <c r="AN36" s="271">
        <v>12.541</v>
      </c>
      <c r="AO36" s="372">
        <v>999.60873307770566</v>
      </c>
      <c r="AP36" s="290">
        <f t="shared" si="8"/>
        <v>12536.093121527507</v>
      </c>
      <c r="AQ36" s="228">
        <f t="shared" si="9"/>
        <v>8689.4161203529275</v>
      </c>
      <c r="AR36" s="229">
        <f t="shared" si="10"/>
        <v>128.875</v>
      </c>
      <c r="AS36" s="291"/>
      <c r="AT36" s="223">
        <v>0</v>
      </c>
      <c r="AU36" s="292">
        <v>0</v>
      </c>
      <c r="AV36" s="292">
        <v>0</v>
      </c>
      <c r="AW36" s="223">
        <v>0</v>
      </c>
      <c r="AX36" s="292">
        <v>30</v>
      </c>
      <c r="AY36" s="223">
        <v>1440</v>
      </c>
      <c r="AZ36" s="223">
        <v>0</v>
      </c>
      <c r="BA36" s="332"/>
      <c r="BB36" s="242">
        <v>0</v>
      </c>
      <c r="BC36" s="242">
        <v>1045</v>
      </c>
      <c r="BD36" s="242">
        <v>642</v>
      </c>
      <c r="BE36" s="242">
        <f t="shared" si="15"/>
        <v>1045</v>
      </c>
      <c r="BF36" s="242">
        <f t="shared" si="12"/>
        <v>8689.4161203529275</v>
      </c>
      <c r="BG36" s="294">
        <f t="shared" si="13"/>
        <v>26.75</v>
      </c>
      <c r="BH36" s="295">
        <v>0</v>
      </c>
      <c r="BI36" s="296">
        <v>1.661</v>
      </c>
      <c r="BJ36" s="297">
        <v>0</v>
      </c>
      <c r="BK36" s="298">
        <v>0</v>
      </c>
      <c r="BL36" s="298">
        <v>21.05</v>
      </c>
      <c r="BM36" s="298">
        <v>29.9</v>
      </c>
      <c r="BN36" s="299">
        <v>994.5</v>
      </c>
      <c r="BO36" s="298">
        <v>50.09</v>
      </c>
      <c r="BP36" s="300">
        <v>0.92169999999999996</v>
      </c>
      <c r="BQ36" s="298">
        <v>0</v>
      </c>
      <c r="BR36" s="297">
        <v>86.98</v>
      </c>
      <c r="BS36" s="242">
        <v>0</v>
      </c>
      <c r="BT36" s="242">
        <v>11585</v>
      </c>
      <c r="BU36" s="301">
        <f t="shared" si="14"/>
        <v>11585</v>
      </c>
      <c r="BV36" s="242">
        <f t="shared" si="18"/>
        <v>1.661</v>
      </c>
      <c r="BW36" s="302">
        <v>0</v>
      </c>
      <c r="BX36" s="302">
        <v>24</v>
      </c>
      <c r="BZ36" s="302">
        <v>0</v>
      </c>
      <c r="CA36" s="302">
        <v>0</v>
      </c>
      <c r="CC36" s="302">
        <v>0</v>
      </c>
      <c r="CD36" s="302">
        <v>0</v>
      </c>
      <c r="CE36" s="302">
        <v>2</v>
      </c>
      <c r="CF36" s="302">
        <v>0</v>
      </c>
    </row>
    <row r="37" spans="1:84">
      <c r="A37" s="530"/>
      <c r="B37" s="24">
        <v>43371</v>
      </c>
      <c r="C37" s="280">
        <v>87</v>
      </c>
      <c r="D37" s="281">
        <v>0.53</v>
      </c>
      <c r="E37" s="282">
        <v>68</v>
      </c>
      <c r="F37" s="223">
        <v>102</v>
      </c>
      <c r="G37" s="223">
        <v>79</v>
      </c>
      <c r="H37" s="283">
        <v>0</v>
      </c>
      <c r="I37" s="283">
        <v>0</v>
      </c>
      <c r="J37" s="283">
        <v>21</v>
      </c>
      <c r="K37" s="283">
        <v>38</v>
      </c>
      <c r="L37" s="284">
        <v>24</v>
      </c>
      <c r="M37" s="284">
        <v>0</v>
      </c>
      <c r="N37" s="284">
        <v>1</v>
      </c>
      <c r="O37" s="284">
        <v>15</v>
      </c>
      <c r="P37" s="284">
        <v>0</v>
      </c>
      <c r="Q37" s="223">
        <v>0</v>
      </c>
      <c r="R37" s="285">
        <v>3527</v>
      </c>
      <c r="S37" s="286">
        <v>3488</v>
      </c>
      <c r="T37" s="286">
        <v>1542</v>
      </c>
      <c r="U37" s="286">
        <v>1550</v>
      </c>
      <c r="V37" s="287">
        <v>1625</v>
      </c>
      <c r="W37" s="283">
        <v>42</v>
      </c>
      <c r="X37" s="283">
        <v>0</v>
      </c>
      <c r="Y37" s="283">
        <v>44</v>
      </c>
      <c r="Z37" s="288">
        <v>0</v>
      </c>
      <c r="AA37" s="288">
        <v>57</v>
      </c>
      <c r="AB37" s="284">
        <v>0</v>
      </c>
      <c r="AC37" s="221">
        <f t="shared" si="0"/>
        <v>77</v>
      </c>
      <c r="AD37" s="222">
        <f t="shared" si="1"/>
        <v>8</v>
      </c>
      <c r="AE37" s="223">
        <v>73</v>
      </c>
      <c r="AF37" s="224">
        <f t="shared" si="16"/>
        <v>0.92751141552511418</v>
      </c>
      <c r="AG37" s="225">
        <f t="shared" si="3"/>
        <v>146.95833333333334</v>
      </c>
      <c r="AH37" s="224">
        <f t="shared" si="17"/>
        <v>0.43946696909554861</v>
      </c>
      <c r="AI37" s="226">
        <f t="shared" si="19"/>
        <v>1</v>
      </c>
      <c r="AJ37" s="227">
        <f t="shared" si="6"/>
        <v>0.79965520590520589</v>
      </c>
      <c r="AK37" s="255">
        <v>8.1850000000000005</v>
      </c>
      <c r="AL37" s="256">
        <v>170.16</v>
      </c>
      <c r="AM37" s="282">
        <f t="shared" si="7"/>
        <v>1392.7596000000001</v>
      </c>
      <c r="AN37" s="255">
        <v>12.103999999999999</v>
      </c>
      <c r="AO37" s="323">
        <v>996.33102323685284</v>
      </c>
      <c r="AP37" s="290">
        <f t="shared" si="8"/>
        <v>12059.590705258866</v>
      </c>
      <c r="AQ37" s="228">
        <f t="shared" si="9"/>
        <v>8678.9356808121702</v>
      </c>
      <c r="AR37" s="229">
        <f t="shared" si="10"/>
        <v>145.33333333333334</v>
      </c>
      <c r="AS37" s="291"/>
      <c r="AT37" s="223">
        <v>0</v>
      </c>
      <c r="AU37" s="292">
        <v>0</v>
      </c>
      <c r="AV37" s="292">
        <v>5</v>
      </c>
      <c r="AW37" s="223">
        <v>67</v>
      </c>
      <c r="AX37" s="292">
        <v>30</v>
      </c>
      <c r="AY37" s="223">
        <v>1364</v>
      </c>
      <c r="AZ37" s="223">
        <v>2</v>
      </c>
      <c r="BA37" s="332"/>
      <c r="BB37" s="242">
        <v>0</v>
      </c>
      <c r="BC37" s="242">
        <v>1004</v>
      </c>
      <c r="BD37" s="242">
        <v>621</v>
      </c>
      <c r="BE37" s="242">
        <f t="shared" si="15"/>
        <v>1004</v>
      </c>
      <c r="BF37" s="242">
        <f t="shared" si="12"/>
        <v>8678.9356808121702</v>
      </c>
      <c r="BG37" s="294">
        <f t="shared" si="13"/>
        <v>25.875</v>
      </c>
      <c r="BH37" s="295">
        <v>0</v>
      </c>
      <c r="BI37" s="296">
        <v>1.5940000000000001</v>
      </c>
      <c r="BJ37" s="297">
        <v>0</v>
      </c>
      <c r="BK37" s="298">
        <v>0</v>
      </c>
      <c r="BL37" s="298">
        <v>20.09</v>
      </c>
      <c r="BM37" s="298">
        <v>26.3</v>
      </c>
      <c r="BN37" s="299">
        <v>995.1</v>
      </c>
      <c r="BO37" s="298">
        <v>50.11</v>
      </c>
      <c r="BP37" s="300">
        <v>0.92159999999999997</v>
      </c>
      <c r="BQ37" s="298">
        <v>0</v>
      </c>
      <c r="BR37" s="297">
        <v>86.8</v>
      </c>
      <c r="BS37" s="242">
        <v>0</v>
      </c>
      <c r="BT37" s="242">
        <v>11503</v>
      </c>
      <c r="BU37" s="301">
        <f t="shared" si="14"/>
        <v>11503</v>
      </c>
      <c r="BV37" s="242">
        <f t="shared" si="18"/>
        <v>1.5940000000000001</v>
      </c>
      <c r="BW37" s="302">
        <v>0</v>
      </c>
      <c r="BX37" s="302">
        <v>21.7</v>
      </c>
      <c r="BZ37" s="302">
        <v>0</v>
      </c>
      <c r="CA37" s="302">
        <v>0</v>
      </c>
      <c r="CC37" s="302">
        <v>0</v>
      </c>
      <c r="CD37" s="302">
        <v>0</v>
      </c>
      <c r="CE37" s="302">
        <v>2.1</v>
      </c>
      <c r="CF37" s="302">
        <v>-0.4</v>
      </c>
    </row>
    <row r="38" spans="1:84">
      <c r="A38" s="530"/>
      <c r="B38" s="24">
        <v>43372</v>
      </c>
      <c r="C38" s="280">
        <v>83</v>
      </c>
      <c r="D38" s="281">
        <v>0.62</v>
      </c>
      <c r="E38" s="282">
        <v>72</v>
      </c>
      <c r="F38" s="223">
        <v>93</v>
      </c>
      <c r="G38" s="223">
        <v>72</v>
      </c>
      <c r="H38" s="283">
        <v>0</v>
      </c>
      <c r="I38" s="283">
        <v>0</v>
      </c>
      <c r="J38" s="283">
        <v>0</v>
      </c>
      <c r="K38" s="283">
        <v>0</v>
      </c>
      <c r="L38" s="284">
        <v>24</v>
      </c>
      <c r="M38" s="284">
        <v>0</v>
      </c>
      <c r="N38" s="284">
        <v>24</v>
      </c>
      <c r="O38" s="284">
        <v>0</v>
      </c>
      <c r="P38" s="284">
        <v>0</v>
      </c>
      <c r="Q38" s="280">
        <v>0</v>
      </c>
      <c r="R38" s="285">
        <v>3567</v>
      </c>
      <c r="S38" s="286">
        <v>3571</v>
      </c>
      <c r="T38" s="286">
        <v>0</v>
      </c>
      <c r="U38" s="286">
        <v>0</v>
      </c>
      <c r="V38" s="287">
        <v>0</v>
      </c>
      <c r="W38" s="283">
        <v>42</v>
      </c>
      <c r="X38" s="283">
        <v>0</v>
      </c>
      <c r="Y38" s="283">
        <v>44</v>
      </c>
      <c r="Z38" s="288">
        <v>0</v>
      </c>
      <c r="AA38" s="288">
        <v>57</v>
      </c>
      <c r="AB38" s="284">
        <v>0</v>
      </c>
      <c r="AC38" s="221">
        <f t="shared" si="0"/>
        <v>19</v>
      </c>
      <c r="AD38" s="222">
        <f t="shared" si="1"/>
        <v>0</v>
      </c>
      <c r="AE38" s="223">
        <v>0</v>
      </c>
      <c r="AF38" s="224" t="str">
        <f t="shared" si="16"/>
        <v>no data</v>
      </c>
      <c r="AG38" s="225">
        <f t="shared" si="3"/>
        <v>148.625</v>
      </c>
      <c r="AH38" s="224" t="str">
        <f t="shared" si="17"/>
        <v>no data</v>
      </c>
      <c r="AI38" s="226" t="str">
        <f t="shared" si="19"/>
        <v>no data</v>
      </c>
      <c r="AJ38" s="227" t="str">
        <f t="shared" si="6"/>
        <v>no data</v>
      </c>
      <c r="AK38" s="255">
        <v>0</v>
      </c>
      <c r="AL38" s="256">
        <v>0</v>
      </c>
      <c r="AM38" s="282">
        <f t="shared" si="7"/>
        <v>0</v>
      </c>
      <c r="AN38" s="255">
        <v>0</v>
      </c>
      <c r="AO38" s="323">
        <v>0</v>
      </c>
      <c r="AP38" s="290">
        <f t="shared" si="8"/>
        <v>0</v>
      </c>
      <c r="AQ38" s="228" t="str">
        <f t="shared" si="9"/>
        <v>no data</v>
      </c>
      <c r="AR38" s="229">
        <f t="shared" si="10"/>
        <v>148.79166666666666</v>
      </c>
      <c r="AS38" s="291"/>
      <c r="AT38" s="223">
        <v>0</v>
      </c>
      <c r="AU38" s="292">
        <v>0</v>
      </c>
      <c r="AV38" s="292">
        <v>0</v>
      </c>
      <c r="AW38" s="223">
        <v>0</v>
      </c>
      <c r="AX38" s="292">
        <v>0</v>
      </c>
      <c r="AY38" s="223">
        <v>0</v>
      </c>
      <c r="AZ38" s="223">
        <v>19</v>
      </c>
      <c r="BA38" s="332"/>
      <c r="BB38" s="242">
        <v>0</v>
      </c>
      <c r="BC38" s="242">
        <v>0</v>
      </c>
      <c r="BD38" s="242">
        <v>0</v>
      </c>
      <c r="BE38" s="242">
        <f t="shared" si="15"/>
        <v>0</v>
      </c>
      <c r="BF38" s="242" t="str">
        <f t="shared" si="12"/>
        <v>no data</v>
      </c>
      <c r="BG38" s="294">
        <f t="shared" si="13"/>
        <v>0</v>
      </c>
      <c r="BH38" s="295">
        <v>0</v>
      </c>
      <c r="BI38" s="296">
        <v>0</v>
      </c>
      <c r="BJ38" s="297">
        <v>0</v>
      </c>
      <c r="BK38" s="298">
        <v>0</v>
      </c>
      <c r="BL38" s="298">
        <v>0</v>
      </c>
      <c r="BM38" s="298">
        <v>0</v>
      </c>
      <c r="BN38" s="299">
        <v>997</v>
      </c>
      <c r="BO38" s="298">
        <v>50.08</v>
      </c>
      <c r="BP38" s="300">
        <v>0</v>
      </c>
      <c r="BQ38" s="298">
        <v>0</v>
      </c>
      <c r="BR38" s="297">
        <v>0</v>
      </c>
      <c r="BS38" s="242">
        <v>0</v>
      </c>
      <c r="BT38" s="242">
        <v>0</v>
      </c>
      <c r="BU38" s="301">
        <f t="shared" si="14"/>
        <v>0</v>
      </c>
      <c r="BV38" s="242">
        <f t="shared" si="18"/>
        <v>0</v>
      </c>
      <c r="BW38" s="302">
        <v>0</v>
      </c>
      <c r="BX38" s="302">
        <v>0</v>
      </c>
      <c r="BZ38" s="302">
        <v>0</v>
      </c>
      <c r="CA38" s="302">
        <v>2.7</v>
      </c>
      <c r="CC38" s="302">
        <v>0</v>
      </c>
      <c r="CD38" s="302">
        <v>0</v>
      </c>
      <c r="CE38" s="302">
        <v>0</v>
      </c>
      <c r="CF38" s="302">
        <v>0</v>
      </c>
    </row>
    <row r="39" spans="1:84">
      <c r="A39" s="531"/>
      <c r="B39" s="24">
        <v>43373</v>
      </c>
      <c r="C39" s="280">
        <v>85.8</v>
      </c>
      <c r="D39" s="281">
        <v>0.61199999999999999</v>
      </c>
      <c r="E39" s="282">
        <v>71.2</v>
      </c>
      <c r="F39" s="223">
        <v>96</v>
      </c>
      <c r="G39" s="223">
        <v>78</v>
      </c>
      <c r="H39" s="283">
        <v>0</v>
      </c>
      <c r="I39" s="283">
        <v>0</v>
      </c>
      <c r="J39" s="283">
        <v>0</v>
      </c>
      <c r="K39" s="283">
        <v>0</v>
      </c>
      <c r="L39" s="284">
        <v>24</v>
      </c>
      <c r="M39" s="284">
        <v>0</v>
      </c>
      <c r="N39" s="284">
        <v>24</v>
      </c>
      <c r="O39" s="284">
        <v>0</v>
      </c>
      <c r="P39" s="284">
        <v>0</v>
      </c>
      <c r="Q39" s="280">
        <v>0</v>
      </c>
      <c r="R39" s="285">
        <v>3536</v>
      </c>
      <c r="S39" s="286">
        <v>3540</v>
      </c>
      <c r="T39" s="286">
        <v>0</v>
      </c>
      <c r="U39" s="286">
        <v>0</v>
      </c>
      <c r="V39" s="287">
        <v>0</v>
      </c>
      <c r="W39" s="283">
        <v>42</v>
      </c>
      <c r="X39" s="283">
        <v>0</v>
      </c>
      <c r="Y39" s="283">
        <v>44</v>
      </c>
      <c r="Z39" s="288">
        <v>0</v>
      </c>
      <c r="AA39" s="288">
        <v>57</v>
      </c>
      <c r="AB39" s="284">
        <v>0</v>
      </c>
      <c r="AC39" s="221">
        <v>16</v>
      </c>
      <c r="AD39" s="222">
        <f t="shared" si="1"/>
        <v>0</v>
      </c>
      <c r="AE39" s="223">
        <v>0</v>
      </c>
      <c r="AF39" s="224" t="str">
        <f t="shared" si="16"/>
        <v>no data</v>
      </c>
      <c r="AG39" s="225">
        <f t="shared" si="3"/>
        <v>147.33333333333334</v>
      </c>
      <c r="AH39" s="224" t="str">
        <f t="shared" si="17"/>
        <v>no data</v>
      </c>
      <c r="AI39" s="226" t="str">
        <f t="shared" si="19"/>
        <v>no data</v>
      </c>
      <c r="AJ39" s="227" t="str">
        <f t="shared" si="6"/>
        <v>no data</v>
      </c>
      <c r="AK39" s="255">
        <v>0</v>
      </c>
      <c r="AL39" s="256">
        <v>0</v>
      </c>
      <c r="AM39" s="282">
        <f t="shared" si="7"/>
        <v>0</v>
      </c>
      <c r="AN39" s="255">
        <v>0</v>
      </c>
      <c r="AO39" s="289">
        <v>0</v>
      </c>
      <c r="AP39" s="290">
        <f t="shared" si="8"/>
        <v>0</v>
      </c>
      <c r="AQ39" s="228" t="str">
        <f t="shared" si="9"/>
        <v>no data</v>
      </c>
      <c r="AR39" s="229">
        <f t="shared" si="10"/>
        <v>147.5</v>
      </c>
      <c r="AS39" s="291"/>
      <c r="AT39" s="223">
        <v>0</v>
      </c>
      <c r="AU39" s="292">
        <v>0</v>
      </c>
      <c r="AV39" s="292">
        <v>0</v>
      </c>
      <c r="AW39" s="223">
        <v>0</v>
      </c>
      <c r="AX39" s="292">
        <v>0</v>
      </c>
      <c r="AY39" s="223">
        <v>0</v>
      </c>
      <c r="AZ39" s="223">
        <v>16</v>
      </c>
      <c r="BA39" s="332"/>
      <c r="BB39" s="242">
        <v>0</v>
      </c>
      <c r="BC39" s="242">
        <v>0</v>
      </c>
      <c r="BD39" s="242">
        <v>0</v>
      </c>
      <c r="BE39" s="242">
        <f t="shared" si="15"/>
        <v>0</v>
      </c>
      <c r="BF39" s="242" t="str">
        <f t="shared" si="12"/>
        <v>no data</v>
      </c>
      <c r="BG39" s="294">
        <f t="shared" si="13"/>
        <v>0</v>
      </c>
      <c r="BH39" s="295">
        <v>0</v>
      </c>
      <c r="BI39" s="296">
        <v>0</v>
      </c>
      <c r="BJ39" s="297">
        <v>0</v>
      </c>
      <c r="BK39" s="298">
        <v>0</v>
      </c>
      <c r="BL39" s="298">
        <v>0</v>
      </c>
      <c r="BM39" s="298">
        <v>0</v>
      </c>
      <c r="BN39" s="299">
        <v>996.04</v>
      </c>
      <c r="BO39" s="298">
        <v>50.07</v>
      </c>
      <c r="BP39" s="300">
        <v>0</v>
      </c>
      <c r="BQ39" s="298">
        <v>0</v>
      </c>
      <c r="BR39" s="297">
        <v>0</v>
      </c>
      <c r="BS39" s="242">
        <v>0</v>
      </c>
      <c r="BT39" s="242">
        <v>0</v>
      </c>
      <c r="BU39" s="301">
        <f t="shared" si="14"/>
        <v>0</v>
      </c>
      <c r="BV39" s="242">
        <f t="shared" si="18"/>
        <v>0</v>
      </c>
      <c r="BW39" s="302">
        <v>0</v>
      </c>
      <c r="BX39" s="302">
        <v>0</v>
      </c>
      <c r="BZ39" s="302">
        <v>0</v>
      </c>
      <c r="CA39" s="302">
        <v>0</v>
      </c>
      <c r="CC39" s="302">
        <v>0</v>
      </c>
      <c r="CD39" s="302">
        <v>0</v>
      </c>
      <c r="CE39" s="302">
        <v>0</v>
      </c>
      <c r="CF39" s="302">
        <v>0</v>
      </c>
    </row>
    <row r="40" spans="1:84">
      <c r="A40" s="79"/>
      <c r="B40" s="80" t="s">
        <v>83</v>
      </c>
      <c r="C40" s="81">
        <f>AVERAGE(C10:C39)</f>
        <v>88.277333333333345</v>
      </c>
      <c r="D40" s="81">
        <f>AVERAGE(D10:D39)*100</f>
        <v>64.942333333333323</v>
      </c>
      <c r="E40" s="81">
        <f>AVERAGE(E10:E39)</f>
        <v>75.297999999999988</v>
      </c>
      <c r="F40" s="81">
        <f>AVERAGE(F10:F39)</f>
        <v>98.233333333333334</v>
      </c>
      <c r="G40" s="81">
        <f>AVERAGE(G10:G39)</f>
        <v>79.766666666666666</v>
      </c>
      <c r="H40" s="81">
        <f>SUM(H10:H39)+(INT(SUM(I10:I39)/60))</f>
        <v>569</v>
      </c>
      <c r="I40" s="81">
        <f>SUM(I10:I39)-(INT(SUM(I10:I39)/60)*60)</f>
        <v>13</v>
      </c>
      <c r="J40" s="81">
        <f>SUM(J10:J39)+(INT(SUM(K10:K39)/60))</f>
        <v>669</v>
      </c>
      <c r="K40" s="81">
        <f>SUM(K7:K37)-(INT(SUM(K7:K37)/60)*60)</f>
        <v>38</v>
      </c>
      <c r="L40" s="81">
        <f t="shared" ref="L40:Q40" si="20">SUM(L10:L39)-(INT(SUM(L10:L39)/60)*60)</f>
        <v>26</v>
      </c>
      <c r="M40" s="81">
        <f t="shared" si="20"/>
        <v>15</v>
      </c>
      <c r="N40" s="81">
        <f t="shared" si="20"/>
        <v>49</v>
      </c>
      <c r="O40" s="81">
        <f t="shared" si="20"/>
        <v>15</v>
      </c>
      <c r="P40" s="81">
        <f t="shared" si="20"/>
        <v>26</v>
      </c>
      <c r="Q40" s="81">
        <f t="shared" si="20"/>
        <v>22</v>
      </c>
      <c r="R40" s="83">
        <f>SUM(R10:R39)</f>
        <v>105454</v>
      </c>
      <c r="S40" s="83">
        <f t="shared" ref="S40:AB40" si="21">SUM(S10:S39)</f>
        <v>92620</v>
      </c>
      <c r="T40" s="83">
        <f t="shared" si="21"/>
        <v>78111</v>
      </c>
      <c r="U40" s="196">
        <v>76581.820000000007</v>
      </c>
      <c r="V40" s="83">
        <f t="shared" si="21"/>
        <v>79090</v>
      </c>
      <c r="W40" s="83">
        <f t="shared" si="21"/>
        <v>1244</v>
      </c>
      <c r="X40" s="83">
        <f t="shared" si="21"/>
        <v>0</v>
      </c>
      <c r="Y40" s="83">
        <f t="shared" si="21"/>
        <v>1303</v>
      </c>
      <c r="Z40" s="83">
        <f t="shared" si="21"/>
        <v>0</v>
      </c>
      <c r="AA40" s="83">
        <f t="shared" si="21"/>
        <v>1711</v>
      </c>
      <c r="AB40" s="83">
        <f t="shared" si="21"/>
        <v>0</v>
      </c>
      <c r="AC40" s="86">
        <f>V40-U40+AZ40</f>
        <v>2545.179999999993</v>
      </c>
      <c r="AD40" s="87">
        <f>(SUM($AD$10:$AD$39))</f>
        <v>-1696</v>
      </c>
      <c r="AE40" s="87">
        <f t="shared" ref="AE40:AJ40" si="22">AVERAGE(AE10:AE39)</f>
        <v>114.93333333333334</v>
      </c>
      <c r="AF40" s="88">
        <f t="shared" si="22"/>
        <v>0.95717646298943038</v>
      </c>
      <c r="AG40" s="90">
        <f t="shared" si="22"/>
        <v>146.46388888888887</v>
      </c>
      <c r="AH40" s="88">
        <f>U40/R40</f>
        <v>0.72621067005519002</v>
      </c>
      <c r="AI40" s="88">
        <f t="shared" si="22"/>
        <v>1</v>
      </c>
      <c r="AJ40" s="88">
        <f t="shared" si="22"/>
        <v>0.87803293136208183</v>
      </c>
      <c r="AK40" s="89">
        <f>SUM(AK10:AK39)</f>
        <v>242.602</v>
      </c>
      <c r="AL40" s="90">
        <f>AVERAGE(AL10:AL39)</f>
        <v>180.93199999999999</v>
      </c>
      <c r="AM40" s="90">
        <f>SUM(AM10:AM39)</f>
        <v>47086.475459999987</v>
      </c>
      <c r="AN40" s="89">
        <f>SUM(AN10:AN39)</f>
        <v>623.6259100000002</v>
      </c>
      <c r="AO40" s="90">
        <f>AVERAGE(AO10:AO39)</f>
        <v>926.05474276073596</v>
      </c>
      <c r="AP40" s="90">
        <f>SUM(AP10:AP39)</f>
        <v>618482.9877369717</v>
      </c>
      <c r="AQ40" s="91">
        <f>((AM40+AP40))/(U40*1000)*1000000</f>
        <v>8690.9590709253407</v>
      </c>
      <c r="AR40" s="339">
        <f>AVERAGE(AR10:AR39)</f>
        <v>128.63888888888889</v>
      </c>
      <c r="AS40" s="13"/>
      <c r="AT40" s="93">
        <f>SUM(AT10:AT39)</f>
        <v>74</v>
      </c>
      <c r="AU40" s="93">
        <f t="shared" ref="AU40:BD40" si="23">SUM(AU10:AU39)</f>
        <v>152</v>
      </c>
      <c r="AV40" s="93">
        <f t="shared" si="23"/>
        <v>5</v>
      </c>
      <c r="AW40" s="93">
        <f t="shared" si="23"/>
        <v>67</v>
      </c>
      <c r="AX40" s="93">
        <f t="shared" si="23"/>
        <v>515</v>
      </c>
      <c r="AY40" s="93">
        <f t="shared" si="23"/>
        <v>38662</v>
      </c>
      <c r="AZ40" s="93">
        <f t="shared" si="23"/>
        <v>37</v>
      </c>
      <c r="BA40" s="332"/>
      <c r="BB40" s="93">
        <f t="shared" si="23"/>
        <v>23551</v>
      </c>
      <c r="BC40" s="93">
        <f t="shared" si="23"/>
        <v>29088</v>
      </c>
      <c r="BD40" s="93">
        <f t="shared" si="23"/>
        <v>26451</v>
      </c>
      <c r="BE40" s="6">
        <f>(BC40-BB40)</f>
        <v>5537</v>
      </c>
      <c r="BF40" s="95">
        <f t="shared" si="12"/>
        <v>8690.9590709253407</v>
      </c>
      <c r="BG40" s="95">
        <f>AVERAGE(BG10:BG39)</f>
        <v>36.737499999999997</v>
      </c>
      <c r="BH40" s="95">
        <f>SUM(BH10:BH39)</f>
        <v>2.5959999999999996</v>
      </c>
      <c r="BI40" s="95">
        <f>SUM(BI10:BI39)</f>
        <v>6.7649999999999997</v>
      </c>
      <c r="BJ40" s="95">
        <f>AVERAGE(BJ10:BJ39)</f>
        <v>23.754999999999999</v>
      </c>
      <c r="BK40" s="95">
        <f t="shared" ref="BK40:BT40" si="24">AVERAGE(BK10:BK39)</f>
        <v>20.121666666666666</v>
      </c>
      <c r="BL40" s="95">
        <f t="shared" si="24"/>
        <v>19.720000000000002</v>
      </c>
      <c r="BM40" s="95">
        <f t="shared" si="24"/>
        <v>26.424999999999997</v>
      </c>
      <c r="BN40" s="95">
        <f t="shared" si="24"/>
        <v>992.75133333333349</v>
      </c>
      <c r="BO40" s="95">
        <f t="shared" si="24"/>
        <v>50.109999999999978</v>
      </c>
      <c r="BP40" s="95">
        <f t="shared" si="24"/>
        <v>0.86683333333333368</v>
      </c>
      <c r="BQ40" s="95">
        <f t="shared" si="24"/>
        <v>83.356551724137915</v>
      </c>
      <c r="BR40" s="95">
        <f t="shared" si="24"/>
        <v>81.318666666666658</v>
      </c>
      <c r="BS40" s="95">
        <f t="shared" si="24"/>
        <v>10354.379310344828</v>
      </c>
      <c r="BT40" s="95">
        <f t="shared" si="24"/>
        <v>10956.133333333333</v>
      </c>
      <c r="BU40" s="6"/>
      <c r="BV40" s="97">
        <f>(SUM(BV10:BV39))</f>
        <v>9.3609999999999989</v>
      </c>
      <c r="BW40" s="97">
        <f>(SUM(BW10:BW39))</f>
        <v>41.39</v>
      </c>
      <c r="BX40" s="97">
        <f>(SUM(BX10:BX39))</f>
        <v>102.28</v>
      </c>
      <c r="BZ40" s="97">
        <f>(SUM(BZ10:BZ39))</f>
        <v>566.69000000000005</v>
      </c>
      <c r="CA40" s="97">
        <f>(SUM(CA10:CA39))</f>
        <v>178.02</v>
      </c>
      <c r="CC40" s="97">
        <f>AVERAGE(CC10:CC39)</f>
        <v>1.7896551724137935</v>
      </c>
      <c r="CD40" s="97">
        <f>AVERAGE(CD10:CD39)</f>
        <v>4.2086206896551737</v>
      </c>
      <c r="CE40" s="97">
        <f>AVERAGE(CE10:CE39)</f>
        <v>1.9366666666666674</v>
      </c>
      <c r="CF40" s="97">
        <f>AVERAGE(CF10:CF39)</f>
        <v>-8.666666666666667E-2</v>
      </c>
    </row>
    <row r="41" spans="1:84" ht="15.75" thickBot="1">
      <c r="A41" s="98"/>
      <c r="B41" s="99" t="s">
        <v>84</v>
      </c>
      <c r="C41" s="100" t="s">
        <v>85</v>
      </c>
      <c r="D41" s="101" t="s">
        <v>86</v>
      </c>
      <c r="E41" s="101"/>
      <c r="F41" s="102" t="s">
        <v>87</v>
      </c>
      <c r="G41" s="102" t="s">
        <v>88</v>
      </c>
      <c r="H41" s="102" t="s">
        <v>75</v>
      </c>
      <c r="I41" s="102" t="s">
        <v>76</v>
      </c>
      <c r="J41" s="102" t="s">
        <v>75</v>
      </c>
      <c r="K41" s="102" t="s">
        <v>76</v>
      </c>
      <c r="L41" s="102" t="s">
        <v>75</v>
      </c>
      <c r="M41" s="102" t="s">
        <v>76</v>
      </c>
      <c r="N41" s="102" t="s">
        <v>75</v>
      </c>
      <c r="O41" s="102" t="s">
        <v>76</v>
      </c>
      <c r="P41" s="102" t="s">
        <v>75</v>
      </c>
      <c r="Q41" s="102" t="s">
        <v>76</v>
      </c>
      <c r="R41" s="103" t="s">
        <v>91</v>
      </c>
      <c r="S41" s="103" t="s">
        <v>91</v>
      </c>
      <c r="T41" s="103" t="s">
        <v>91</v>
      </c>
      <c r="U41" s="103" t="s">
        <v>91</v>
      </c>
      <c r="V41" s="103" t="s">
        <v>91</v>
      </c>
      <c r="W41" s="103" t="s">
        <v>92</v>
      </c>
      <c r="X41" s="103" t="s">
        <v>93</v>
      </c>
      <c r="Y41" s="103" t="s">
        <v>94</v>
      </c>
      <c r="Z41" s="103" t="s">
        <v>93</v>
      </c>
      <c r="AA41" s="103" t="s">
        <v>94</v>
      </c>
      <c r="AB41" s="103" t="s">
        <v>93</v>
      </c>
      <c r="AC41" s="103" t="s">
        <v>95</v>
      </c>
      <c r="AD41" s="103" t="s">
        <v>96</v>
      </c>
      <c r="AE41" s="103" t="s">
        <v>97</v>
      </c>
      <c r="AF41" s="103" t="s">
        <v>98</v>
      </c>
      <c r="AG41" s="103" t="s">
        <v>99</v>
      </c>
      <c r="AH41" s="103" t="s">
        <v>99</v>
      </c>
      <c r="AI41" s="103"/>
      <c r="AJ41" s="103" t="s">
        <v>99</v>
      </c>
      <c r="AK41" s="103" t="s">
        <v>100</v>
      </c>
      <c r="AL41" s="103" t="s">
        <v>99</v>
      </c>
      <c r="AM41" s="103"/>
      <c r="AN41" s="103" t="s">
        <v>100</v>
      </c>
      <c r="AO41" s="103" t="s">
        <v>99</v>
      </c>
      <c r="AP41" s="104"/>
      <c r="AQ41" s="105" t="s">
        <v>99</v>
      </c>
      <c r="AR41" s="106"/>
      <c r="AS41" s="107"/>
      <c r="AZ41" s="108" t="s">
        <v>100</v>
      </c>
      <c r="BA41" s="332"/>
      <c r="BF41" s="109" t="str">
        <f t="shared" si="12"/>
        <v>Avg.</v>
      </c>
      <c r="BS41" s="5"/>
      <c r="BT41" s="5"/>
      <c r="BU41" s="6"/>
    </row>
    <row r="42" spans="1:84" ht="15.75" thickBot="1">
      <c r="B42" s="110"/>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c r="AA42" s="110"/>
      <c r="AB42" s="110"/>
      <c r="AC42" s="110"/>
      <c r="AD42" s="110"/>
      <c r="AE42" s="110"/>
      <c r="AF42" s="110"/>
      <c r="AG42" s="110"/>
      <c r="AH42" s="110"/>
      <c r="AI42" s="110"/>
      <c r="AJ42" s="110"/>
      <c r="AK42" s="110"/>
      <c r="AL42" s="110"/>
      <c r="AM42" s="111"/>
      <c r="AQ42" s="112"/>
      <c r="AR42" s="112"/>
      <c r="AS42" s="4"/>
      <c r="AW42">
        <f>AY42+40</f>
        <v>520</v>
      </c>
      <c r="AY42">
        <f>8*60</f>
        <v>480</v>
      </c>
      <c r="BA42" s="113"/>
      <c r="BB42" s="114"/>
      <c r="BC42" s="114"/>
      <c r="BD42" s="114"/>
      <c r="BE42" s="6"/>
      <c r="BS42" s="5"/>
      <c r="BT42" s="5"/>
      <c r="BU42" s="6"/>
    </row>
    <row r="43" spans="1:84" ht="60.75" thickBot="1">
      <c r="B43" s="115" t="s">
        <v>101</v>
      </c>
      <c r="C43" s="116" t="s">
        <v>102</v>
      </c>
      <c r="D43" s="116" t="s">
        <v>103</v>
      </c>
      <c r="E43" s="364"/>
      <c r="F43" s="428" t="s">
        <v>104</v>
      </c>
      <c r="G43" s="429"/>
      <c r="H43" s="428" t="s">
        <v>105</v>
      </c>
      <c r="I43" s="429"/>
      <c r="J43" s="428" t="s">
        <v>106</v>
      </c>
      <c r="K43" s="429"/>
      <c r="L43" s="428" t="s">
        <v>107</v>
      </c>
      <c r="M43" s="429"/>
      <c r="N43" s="428" t="s">
        <v>108</v>
      </c>
      <c r="O43" s="429"/>
      <c r="P43" s="428" t="s">
        <v>109</v>
      </c>
      <c r="Q43" s="429"/>
      <c r="R43" s="117" t="s">
        <v>110</v>
      </c>
      <c r="S43" s="118" t="s">
        <v>111</v>
      </c>
      <c r="T43" s="119" t="s">
        <v>112</v>
      </c>
      <c r="U43" s="116" t="s">
        <v>11</v>
      </c>
      <c r="V43" s="119" t="s">
        <v>12</v>
      </c>
      <c r="W43" s="116" t="s">
        <v>113</v>
      </c>
      <c r="X43" s="116" t="s">
        <v>14</v>
      </c>
      <c r="Y43" s="116" t="s">
        <v>114</v>
      </c>
      <c r="Z43" s="116" t="s">
        <v>16</v>
      </c>
      <c r="AA43" s="116" t="s">
        <v>18</v>
      </c>
      <c r="AB43" s="116" t="s">
        <v>17</v>
      </c>
      <c r="AC43" s="118" t="s">
        <v>19</v>
      </c>
      <c r="AD43" s="120" t="s">
        <v>20</v>
      </c>
      <c r="AE43" s="121" t="s">
        <v>21</v>
      </c>
      <c r="AF43" s="121" t="s">
        <v>22</v>
      </c>
      <c r="AG43" s="121" t="s">
        <v>115</v>
      </c>
      <c r="AH43" s="122" t="s">
        <v>116</v>
      </c>
      <c r="AI43" s="122" t="s">
        <v>25</v>
      </c>
      <c r="AJ43" s="123" t="s">
        <v>26</v>
      </c>
      <c r="AK43" s="119" t="s">
        <v>117</v>
      </c>
      <c r="AL43" s="124" t="s">
        <v>28</v>
      </c>
      <c r="AM43" s="124" t="s">
        <v>29</v>
      </c>
      <c r="AN43" s="119" t="s">
        <v>118</v>
      </c>
      <c r="AO43" s="124" t="s">
        <v>119</v>
      </c>
      <c r="AP43" s="124" t="s">
        <v>32</v>
      </c>
      <c r="AQ43" s="123" t="s">
        <v>120</v>
      </c>
      <c r="AR43" s="125"/>
      <c r="AS43" s="125"/>
      <c r="BA43" s="113"/>
      <c r="BB43" s="114"/>
      <c r="BC43" s="114"/>
      <c r="BD43" s="114"/>
      <c r="BE43" s="126"/>
      <c r="BS43" s="5"/>
      <c r="BT43" s="5"/>
      <c r="BU43" s="6"/>
      <c r="BV43" s="371" t="s">
        <v>292</v>
      </c>
    </row>
    <row r="44" spans="1:84">
      <c r="B44" s="127" t="s">
        <v>263</v>
      </c>
      <c r="C44" s="128">
        <f>IF(C7=0,"no data",AVERAGE(C7:C11))</f>
        <v>92.165999999999997</v>
      </c>
      <c r="D44" s="128">
        <f>IF(D7=0,"no data",AVERAGE(D7:D11))</f>
        <v>0.63530000000000009</v>
      </c>
      <c r="E44" s="128">
        <f>IF(E7=0,"no data",AVERAGE(E7:E11))</f>
        <v>77.577999999999989</v>
      </c>
      <c r="F44" s="128">
        <f>IF(F7=0,"no data",AVERAGE(F7:F11))</f>
        <v>100.84</v>
      </c>
      <c r="G44" s="128">
        <f>IF(G7=0,"no data",AVERAGE(G7:G11))</f>
        <v>84.12</v>
      </c>
      <c r="H44" s="128">
        <f>SUM(H7:H11)+INT(SUM(I7:I11)/60)</f>
        <v>120</v>
      </c>
      <c r="I44" s="128">
        <f t="shared" ref="I44:Q44" si="25">SUM(I7:I11)+INT(SUM(J7:J11)/60)</f>
        <v>2</v>
      </c>
      <c r="J44" s="128">
        <f t="shared" si="25"/>
        <v>120</v>
      </c>
      <c r="K44" s="128">
        <f t="shared" si="25"/>
        <v>0</v>
      </c>
      <c r="L44" s="128">
        <f t="shared" si="25"/>
        <v>0</v>
      </c>
      <c r="M44" s="128">
        <f t="shared" si="25"/>
        <v>0</v>
      </c>
      <c r="N44" s="128">
        <f t="shared" si="25"/>
        <v>0</v>
      </c>
      <c r="O44" s="128">
        <f t="shared" si="25"/>
        <v>0</v>
      </c>
      <c r="P44" s="128">
        <f t="shared" si="25"/>
        <v>0</v>
      </c>
      <c r="Q44" s="128">
        <f t="shared" si="25"/>
        <v>289</v>
      </c>
      <c r="R44" s="130">
        <f t="shared" ref="R44:W44" si="26">IF(C7=0,"no data", AVERAGE(R7:R11))</f>
        <v>3476</v>
      </c>
      <c r="S44" s="130">
        <f t="shared" si="26"/>
        <v>2954.4</v>
      </c>
      <c r="T44" s="130">
        <f t="shared" si="26"/>
        <v>2954.4</v>
      </c>
      <c r="U44" s="130">
        <f t="shared" si="26"/>
        <v>2883.4</v>
      </c>
      <c r="V44" s="130">
        <f t="shared" si="26"/>
        <v>2981.6</v>
      </c>
      <c r="W44" s="130">
        <f t="shared" si="26"/>
        <v>40.799999999999997</v>
      </c>
      <c r="X44" s="140" t="str">
        <f>IF(AND(X7=0,X8=0,X9=0,X10=0,X11=0),"No outage",SUM(X5:X11))</f>
        <v>No outage</v>
      </c>
      <c r="Y44" s="131">
        <f>IF(Y7=0,"no data", AVERAGE(Y7:Y11))</f>
        <v>43</v>
      </c>
      <c r="Z44" s="140" t="str">
        <f>IF(AND(Z7=0,Z8=0,Z9=0,Z10=0,Z11=0),"No outage",SUM(Z5:Z11))</f>
        <v>No outage</v>
      </c>
      <c r="AA44" s="132" t="str">
        <f>IF(AND(AB7=0,AB8=0,AB9=0, AB10=0,AB11=0),"No outage",SUM(AB5:AB11))</f>
        <v>No outage</v>
      </c>
      <c r="AB44" s="132">
        <f t="shared" ref="AB44:AJ44" si="27">IF(AA7=0,"no data", AVERAGE(AA7:AA11))</f>
        <v>57</v>
      </c>
      <c r="AC44" s="132" t="str">
        <f t="shared" si="27"/>
        <v>no data</v>
      </c>
      <c r="AD44" s="132">
        <f t="shared" si="27"/>
        <v>98.2</v>
      </c>
      <c r="AE44" s="132">
        <f t="shared" si="27"/>
        <v>-71</v>
      </c>
      <c r="AF44" s="132">
        <f t="shared" si="27"/>
        <v>126.2</v>
      </c>
      <c r="AG44" s="132">
        <f t="shared" si="27"/>
        <v>0.98442620922384694</v>
      </c>
      <c r="AH44" s="132">
        <f t="shared" si="27"/>
        <v>144.83333333333334</v>
      </c>
      <c r="AI44" s="132">
        <f t="shared" si="27"/>
        <v>0.82950725813623938</v>
      </c>
      <c r="AJ44" s="132">
        <f t="shared" si="27"/>
        <v>1</v>
      </c>
      <c r="AK44" s="132">
        <f>IF(AK7=0,"no data", SUM(AK7:AK11))</f>
        <v>45.671999999999997</v>
      </c>
      <c r="AL44" s="132">
        <f>IF(AL7=0,"no data", AVERAGE(AL7:AL11))</f>
        <v>204.18600000000001</v>
      </c>
      <c r="AM44" s="132">
        <f>AK44*AL44</f>
        <v>9325.5829919999996</v>
      </c>
      <c r="AN44" s="132">
        <f>IF(AN7=0,"no data", SUM(AN7:AN11))</f>
        <v>117.63154</v>
      </c>
      <c r="AO44" s="132">
        <f>IF(AO7=0,"no data", AVERAGE(AO7:AO11))</f>
        <v>992.73976540842853</v>
      </c>
      <c r="AP44" s="132">
        <f>AN44*AO44</f>
        <v>116777.50742423217</v>
      </c>
      <c r="AQ44" s="134">
        <f>IF(AQ7=0,"no data", AVERAGE(AQ7:AQ11))</f>
        <v>8746.5235884741815</v>
      </c>
      <c r="AR44" s="125"/>
      <c r="AS44" s="136"/>
      <c r="BA44" s="113"/>
      <c r="BB44" s="114"/>
      <c r="BC44" s="114"/>
      <c r="BD44" s="114"/>
      <c r="BS44" s="5"/>
      <c r="BT44" s="5"/>
      <c r="BU44" s="6"/>
    </row>
    <row r="45" spans="1:84">
      <c r="B45" s="127" t="s">
        <v>274</v>
      </c>
      <c r="C45" s="137">
        <f>IF(C12=0,"no data", AVERAGE(C12:C18))</f>
        <v>91.271428571428572</v>
      </c>
      <c r="D45" s="138">
        <f>IF(D12=0,"no data", AVERAGE(D12:D18))</f>
        <v>0.65174285714285707</v>
      </c>
      <c r="E45" s="140">
        <f>IF(E12=0,"no data", AVERAGE(E12:E18))</f>
        <v>77.828571428571422</v>
      </c>
      <c r="F45" s="137">
        <f>IF(F12=0,"no data", AVERAGE(F12:F18))</f>
        <v>100.14285714285714</v>
      </c>
      <c r="G45" s="137">
        <f>IF(G12=0,"no data", AVERAGE(G12:G18))</f>
        <v>82.857142857142861</v>
      </c>
      <c r="H45" s="137">
        <f>SUM(H12:H18)+INT(SUM(I12:I18)/60)</f>
        <v>168</v>
      </c>
      <c r="I45" s="137">
        <f>SUM(I12:I18)-INT(SUM(J12:J18)/60)</f>
        <v>-2</v>
      </c>
      <c r="J45" s="137">
        <f>SUM(J12:J18)+INT(SUM(K12:K18)/60)</f>
        <v>168</v>
      </c>
      <c r="K45" s="137">
        <f>SUM(K12:K18)-INT(SUM(L12:L18)/60)*60</f>
        <v>0</v>
      </c>
      <c r="L45" s="137">
        <f>SUM(L12:L18)+INT(SUM(M12:M18)/60)</f>
        <v>0</v>
      </c>
      <c r="M45" s="137">
        <f>SUM(M12:M18)-INT(SUM(N12:N18)/60)*60</f>
        <v>0</v>
      </c>
      <c r="N45" s="137">
        <f>SUM(N12:N18)+INT(SUM(O12:O18)/60)</f>
        <v>0</v>
      </c>
      <c r="O45" s="137">
        <v>0</v>
      </c>
      <c r="P45" s="137">
        <f>SUM(P12:P18)+INT(SUM(Q12:Q18)/60)</f>
        <v>0</v>
      </c>
      <c r="Q45" s="137">
        <f>SUM(Q8:Q12)-INT(SUM(Q12:Q18)/60)*60</f>
        <v>0</v>
      </c>
      <c r="R45" s="139">
        <f>IF(R12=0,"no data", AVERAGE(R12:R18))</f>
        <v>3484.5714285714284</v>
      </c>
      <c r="S45" s="139">
        <f>IF(S12=0,"no data", AVERAGE(S12:S18))</f>
        <v>2974.2857142857142</v>
      </c>
      <c r="T45" s="139">
        <f>IF(T12=0,"no data", AVERAGE(T12:T18))</f>
        <v>2974.2857142857142</v>
      </c>
      <c r="U45" s="139">
        <f>IF(U12=0,"no data", SUM(U12:U18))</f>
        <v>20314</v>
      </c>
      <c r="V45" s="139">
        <f>IF(V12=0,"no data", SUM(V12:V18))</f>
        <v>20996</v>
      </c>
      <c r="W45" s="139">
        <f>IF(W12=0,"no data", AVERAGE(W12:W18))</f>
        <v>41</v>
      </c>
      <c r="X45" s="140" t="str">
        <f>IF(AND(X12=0,X13=0,X14=0,X15=0,X16=0,X17=0,X18=0),"No outage",SUM(X12:X18))</f>
        <v>No outage</v>
      </c>
      <c r="Y45" s="139">
        <f>IF(Y12=0,"no data", AVERAGE(Y12:Y18))</f>
        <v>43</v>
      </c>
      <c r="Z45" s="140" t="str">
        <f>IF(AND(Z12=0,Z13=0,Z14=0,Z15=0,Z16=0,Z17=0,Z18=0),"No outage",SUM(Z12:Z18))</f>
        <v>No outage</v>
      </c>
      <c r="AA45" s="132" t="str">
        <f>IF(AND(AB12=0,AB13=0,AB14=0,AB15=0,AB16=0, AB17=0,AB18=0),"No outage",SUM(AB12:AB18))</f>
        <v>No outage</v>
      </c>
      <c r="AB45" s="132">
        <f>IF(AA6=12,"no data", AVERAGE(AA12:AA18))</f>
        <v>57</v>
      </c>
      <c r="AC45" s="139">
        <f>IF(AC12=0,"no data", SUM(AC12:AC18))</f>
        <v>682</v>
      </c>
      <c r="AD45" s="139">
        <f>IF(AD12=0,"no data", SUM(AD12:AD18))</f>
        <v>-506</v>
      </c>
      <c r="AE45" s="139">
        <f t="shared" ref="AE45:AJ45" si="28">IF(AE12=0,"no data", AVERAGE(AE12:AE18))</f>
        <v>127.14285714285714</v>
      </c>
      <c r="AF45" s="141">
        <f t="shared" si="28"/>
        <v>0.98299161637533405</v>
      </c>
      <c r="AG45" s="139">
        <f t="shared" si="28"/>
        <v>145.1904761904762</v>
      </c>
      <c r="AH45" s="141">
        <f t="shared" si="28"/>
        <v>0.83281975353695459</v>
      </c>
      <c r="AI45" s="141">
        <f t="shared" si="28"/>
        <v>1</v>
      </c>
      <c r="AJ45" s="141">
        <f t="shared" si="28"/>
        <v>0.88652482269503541</v>
      </c>
      <c r="AK45" s="142">
        <f>IF(AK12=0,"no data",SUM(AK12:AK18))</f>
        <v>61.941999999999993</v>
      </c>
      <c r="AL45" s="143">
        <f>IF(AL12=0,"no data", AVERAGE(AL12:AL18))</f>
        <v>207.82</v>
      </c>
      <c r="AM45" s="140">
        <f>AK45*AL45</f>
        <v>12872.786439999998</v>
      </c>
      <c r="AN45" s="140">
        <f>IF(AN12=0,"no data", SUM(AN12:AN18))</f>
        <v>167.6567</v>
      </c>
      <c r="AO45" s="142">
        <f>IF(AO12=0,"no data",AVERAGE(AO12:AO18))</f>
        <v>982.44783417781105</v>
      </c>
      <c r="AP45" s="140">
        <f>AN45*AO45</f>
        <v>164713.961800399</v>
      </c>
      <c r="AQ45" s="144">
        <f>IF(AQ12=0,"no data", AVERAGE(AQ12:AQ18))</f>
        <v>8741.9804203039348</v>
      </c>
      <c r="AR45" s="125"/>
      <c r="AS45" s="136"/>
      <c r="BA45" s="113"/>
      <c r="BC45" s="114"/>
      <c r="BS45" s="5"/>
      <c r="BT45" s="5"/>
      <c r="BU45" s="6">
        <f>25/60</f>
        <v>0.41666666666666669</v>
      </c>
      <c r="BV45">
        <f>18+BU45</f>
        <v>18.416666666666668</v>
      </c>
    </row>
    <row r="46" spans="1:84">
      <c r="A46" s="145"/>
      <c r="B46" s="127" t="s">
        <v>275</v>
      </c>
      <c r="C46" s="140">
        <f>IF(C19=0,"no data", AVERAGE(C19:C25))</f>
        <v>88.621428571428581</v>
      </c>
      <c r="D46" s="138">
        <f>IF(D19=0,"no data", AVERAGE(D19:D25))</f>
        <v>0.66258571428571422</v>
      </c>
      <c r="E46" s="140">
        <f>IF(E19=0,"no data", AVERAGE(E19:E25))</f>
        <v>76.16</v>
      </c>
      <c r="F46" s="140">
        <f>IF(F19=0,"no data", AVERAGE(F19:F25))</f>
        <v>97.285714285714292</v>
      </c>
      <c r="G46" s="140">
        <f>IF(G19=0,"no data", AVERAGE(G19:G25))</f>
        <v>81.285714285714292</v>
      </c>
      <c r="H46" s="137">
        <f>SUM(H19:H25)+INT(SUM(I19:I25)/60)</f>
        <v>168</v>
      </c>
      <c r="I46" s="137">
        <f>SUM(I19:I25)-INT(SUM(I25:I25)/60)*60</f>
        <v>0</v>
      </c>
      <c r="J46" s="137">
        <f>SUM(J19:J25)+INT(SUM(K19:K25)/60)</f>
        <v>168</v>
      </c>
      <c r="K46" s="137">
        <f>SUM(K19:K25)-INT(SUM(K19:K25)/60)*60</f>
        <v>0</v>
      </c>
      <c r="L46" s="137">
        <f>SUM(L19:L25)+INT(SUM(M19:M25)/60)</f>
        <v>0</v>
      </c>
      <c r="M46" s="137">
        <f>SUM(M19:M25)-INT(SUM(M19:M25)/60)*60</f>
        <v>0</v>
      </c>
      <c r="N46" s="137">
        <f>SUM(N19:N25)+INT(SUM(O19:O25)/60)</f>
        <v>0</v>
      </c>
      <c r="O46" s="137">
        <f>SUM(O19:O25)-INT(SUM(O19:O25)/60)*60</f>
        <v>0</v>
      </c>
      <c r="P46" s="137">
        <f>SUM(P19:P25)+INT(SUM(Q19:Q25)/60)</f>
        <v>0</v>
      </c>
      <c r="Q46" s="137">
        <f>SUM(Q19:Q25)-INT(SUM(Q19:Q25)/60)*60</f>
        <v>0</v>
      </c>
      <c r="R46" s="139">
        <f>IF(R19=0,"no data", AVERAGE(R19:R25))</f>
        <v>3512.4285714285716</v>
      </c>
      <c r="S46" s="139">
        <f>IF(S19=0,"no data", AVERAGE(S19:S25))</f>
        <v>3000.7142857142858</v>
      </c>
      <c r="T46" s="139">
        <f>IF(T19=0,"no data", AVERAGE(T19:T25))</f>
        <v>3000.7142857142858</v>
      </c>
      <c r="U46" s="146">
        <f>IF(U19=0,"no data", SUM(U19:U25))</f>
        <v>20503</v>
      </c>
      <c r="V46" s="146">
        <f>IF(V19=0,"no data", SUM(V19:V25))</f>
        <v>21193</v>
      </c>
      <c r="W46" s="146">
        <f>IF(W19=0,"no data", AVERAGE(W19:W25))</f>
        <v>41.428571428571431</v>
      </c>
      <c r="X46" s="140" t="str">
        <f>IF(AND(X19=0,X20=0,X21=0,X22=0,X23=0,X24=0,X25=0),"No outage",SUM(X19:X25))</f>
        <v>No outage</v>
      </c>
      <c r="Y46" s="146">
        <f>IF(Y19=0,"no data", AVERAGE(Y19:Y25))</f>
        <v>43.428571428571431</v>
      </c>
      <c r="Z46" s="140" t="str">
        <f>IF(AND(Z19=0,Z20=0,Z21=0,Z22=0,Z23=0,Z24=0,Z25=0),"No outage",SUM(Z19:Z25))</f>
        <v>No outage</v>
      </c>
      <c r="AA46" s="132" t="str">
        <f>IF(AND(AB19=0,AB20=0,AB21=0,AB22=0,AB23=0, AB24=0,AB25=0),"No outage",SUM(AB19:AB25))</f>
        <v>No outage</v>
      </c>
      <c r="AB46" s="132">
        <f>IF(AA19=0,"no data", AVERAGE(AA19:AA25))</f>
        <v>57.142857142857146</v>
      </c>
      <c r="AC46" s="140">
        <f>IF(AC19=0,"no data", SUM(AC19:AC25))</f>
        <v>690</v>
      </c>
      <c r="AD46" s="146">
        <f>IF(AD19=0,"no data", SUM(AD19:AD25))</f>
        <v>-502</v>
      </c>
      <c r="AE46" s="140">
        <f t="shared" ref="AE46:AJ46" si="29">IF(AE19=0,"no data", AVERAGE(AE19:AE25))</f>
        <v>127.85714285714286</v>
      </c>
      <c r="AF46" s="141">
        <f t="shared" si="29"/>
        <v>0.98665277230841375</v>
      </c>
      <c r="AG46" s="140">
        <f t="shared" si="29"/>
        <v>146.35119047619045</v>
      </c>
      <c r="AH46" s="141">
        <f t="shared" si="29"/>
        <v>0.83389434526973683</v>
      </c>
      <c r="AI46" s="141">
        <f t="shared" si="29"/>
        <v>1</v>
      </c>
      <c r="AJ46" s="141">
        <f t="shared" si="29"/>
        <v>0.88931399569697434</v>
      </c>
      <c r="AK46" s="140">
        <f>IF(AK19=0,"no data", SUM(AK19:AK25))</f>
        <v>60.535000000000004</v>
      </c>
      <c r="AL46" s="140">
        <f>IF(AL19=0,"no data", AVERAGE(AL19:AL25))</f>
        <v>202.82571428571424</v>
      </c>
      <c r="AM46" s="140">
        <f>AK46*AL46</f>
        <v>12278.054614285713</v>
      </c>
      <c r="AN46" s="140">
        <f>IF(AN19=0,"no data", SUM(AN19:AN24))</f>
        <v>143.73866000000001</v>
      </c>
      <c r="AO46" s="140">
        <f>IF(AO19=0,"no data", AVERAGE(AO19:AO24))</f>
        <v>990.34826118306637</v>
      </c>
      <c r="AP46" s="140">
        <f>AN46*AO46</f>
        <v>142351.33199578398</v>
      </c>
      <c r="AQ46" s="144">
        <f>IF(AQ19=0,"no data", AVERAGE(AQ19:AQ25))</f>
        <v>8708.1354759905607</v>
      </c>
      <c r="AR46" s="125"/>
      <c r="AS46" s="136"/>
      <c r="AT46" s="145"/>
      <c r="AU46" s="145"/>
      <c r="AV46" s="145"/>
      <c r="AW46" s="145"/>
      <c r="AY46" s="145"/>
      <c r="AZ46" s="145"/>
      <c r="BA46" s="113"/>
      <c r="BB46" s="145"/>
      <c r="BC46" s="114"/>
      <c r="BD46" s="145"/>
      <c r="BE46" s="145"/>
      <c r="BF46" s="145"/>
      <c r="BG46" s="145"/>
      <c r="BS46" s="5"/>
      <c r="BT46" s="5"/>
      <c r="BU46" s="6">
        <f>45/60</f>
        <v>0.75</v>
      </c>
      <c r="BV46">
        <f>21+BU46</f>
        <v>21.75</v>
      </c>
      <c r="BW46">
        <f>BV46-BV45</f>
        <v>3.3333333333333321</v>
      </c>
    </row>
    <row r="47" spans="1:84">
      <c r="B47" s="127" t="s">
        <v>276</v>
      </c>
      <c r="C47" s="140">
        <f>IF(C26=0,"no data", AVERAGE(C26:C32))</f>
        <v>87.528571428571439</v>
      </c>
      <c r="D47" s="140">
        <f>IF(D26=0,"no data", AVERAGE(D26:D32))</f>
        <v>0.64028571428571435</v>
      </c>
      <c r="E47" s="140" t="e">
        <f>IF(#REF!=0,"no data", AVERAGE(E26:E32))</f>
        <v>#REF!</v>
      </c>
      <c r="F47" s="140">
        <f>IF(F26=0,"no data", AVERAGE(F26:F32))</f>
        <v>98.428571428571431</v>
      </c>
      <c r="G47" s="140">
        <f>IF(G26=0,"no data", AVERAGE(G26:G32))</f>
        <v>78.142857142857139</v>
      </c>
      <c r="H47" s="137">
        <f>SUM(H26:H32)+INT(SUM(I26:I32)/60)</f>
        <v>142</v>
      </c>
      <c r="I47" s="137">
        <f t="shared" ref="I47:O48" si="30">SUM(I26:I32)+INT(SUM(J26:J32)/60)</f>
        <v>44</v>
      </c>
      <c r="J47" s="137">
        <f t="shared" si="30"/>
        <v>168</v>
      </c>
      <c r="K47" s="137">
        <f t="shared" si="30"/>
        <v>0</v>
      </c>
      <c r="L47" s="137">
        <f t="shared" si="30"/>
        <v>24</v>
      </c>
      <c r="M47" s="137">
        <f t="shared" si="30"/>
        <v>57</v>
      </c>
      <c r="N47" s="137">
        <f t="shared" si="30"/>
        <v>0</v>
      </c>
      <c r="O47" s="137">
        <f t="shared" si="30"/>
        <v>0</v>
      </c>
      <c r="P47" s="137">
        <f>SUM(P26:P32)+INT(SUM(Q26:Q32)/60)</f>
        <v>0</v>
      </c>
      <c r="Q47" s="137">
        <f>SUM(Q26:Q32)-INT(SUM(Q26:Q32)/60)*60</f>
        <v>0</v>
      </c>
      <c r="R47" s="139">
        <f t="shared" ref="R47:T48" si="31">IF(R26=0,"no data", AVERAGE(R26:R32))</f>
        <v>3523.2857142857142</v>
      </c>
      <c r="S47" s="139">
        <f t="shared" si="31"/>
        <v>3013.7142857142858</v>
      </c>
      <c r="T47" s="139">
        <f t="shared" si="31"/>
        <v>2779.2857142857142</v>
      </c>
      <c r="U47" s="139">
        <f>IF(U26=0,"no data", SUM(U26:U32))</f>
        <v>19032</v>
      </c>
      <c r="V47" s="139">
        <f>IF(V26=0,"no data", SUM(V26:V32))</f>
        <v>19693</v>
      </c>
      <c r="W47" s="146">
        <f>IF(W26=0,"no data", AVERAGE(W26:W32))</f>
        <v>41.571428571428569</v>
      </c>
      <c r="X47" s="140" t="str">
        <f>IF(AND(X26=0,X27=0,X28=0,X29=0,X30=0,X31=0,X32=0),"No outage",SUM(X26:X32))</f>
        <v>No outage</v>
      </c>
      <c r="Y47" s="146">
        <f>IF(Y26=0,"no data", AVERAGE(Y26:Y32))</f>
        <v>43.428571428571431</v>
      </c>
      <c r="Z47" s="140" t="str">
        <f>IF(AND(Z26=0,Z27=0,Z28=0,Z29=0,Z30=0,Z31=0,Z32=0),"No outage",SUM(Z26:Z32))</f>
        <v>No outage</v>
      </c>
      <c r="AA47" s="140">
        <f>IF(AND(AA26=0,AA27=0,AA28=0,AA29=0,AA30=0,AA31=0,AA32=0),"No outage",SUM(AA26:AA32))</f>
        <v>399</v>
      </c>
      <c r="AB47" s="132">
        <f>IF(AA26=0,"no data", AVERAGE(AA26:AA32))</f>
        <v>57</v>
      </c>
      <c r="AC47" s="139">
        <f>IF(AC26=0,"no data", SUM(AC26:AC32))</f>
        <v>661</v>
      </c>
      <c r="AD47" s="139">
        <f>IF(AD26=0,"no data", SUM(AD26:AD32))</f>
        <v>-423</v>
      </c>
      <c r="AE47" s="146">
        <f t="shared" ref="AE47:AJ47" si="32">IF(AE26=0,"no data", AVERAGE(AE26:AE32))</f>
        <v>120.28571428571429</v>
      </c>
      <c r="AF47" s="138">
        <f t="shared" si="32"/>
        <v>0.97404656672461898</v>
      </c>
      <c r="AG47" s="140">
        <f t="shared" si="32"/>
        <v>146.80357142857142</v>
      </c>
      <c r="AH47" s="138">
        <f t="shared" si="32"/>
        <v>0.77271776593073371</v>
      </c>
      <c r="AI47" s="138">
        <f t="shared" si="32"/>
        <v>1</v>
      </c>
      <c r="AJ47" s="138">
        <f t="shared" si="32"/>
        <v>0.87911370918563014</v>
      </c>
      <c r="AK47" s="139">
        <f>IF(AK26=0,"no data", SUM(AK26:AK32))</f>
        <v>60.088000000000001</v>
      </c>
      <c r="AL47" s="140">
        <f>IF(AL26=0,"no data", AVERAGE(AL26:AL32))</f>
        <v>186.18</v>
      </c>
      <c r="AM47" s="140">
        <f>AK47*AL47</f>
        <v>11187.18384</v>
      </c>
      <c r="AN47" s="140">
        <f>IF(AN26=0,"no data", SUM(AN26:AN32))</f>
        <v>154.26400000000001</v>
      </c>
      <c r="AO47" s="140">
        <f>IF(AO26=0,"no data", AVERAGE(AO26:AO32))</f>
        <v>997.54567070055134</v>
      </c>
      <c r="AP47" s="140">
        <f>AN47*AO47</f>
        <v>153885.38534494987</v>
      </c>
      <c r="AQ47" s="144">
        <f>IF(AQ26=0,"no data", AVERAGE(AQ26:AQ32))</f>
        <v>8680.2192570812604</v>
      </c>
      <c r="AR47" s="125"/>
      <c r="AS47" s="136"/>
      <c r="BA47" s="360"/>
      <c r="BC47" s="114"/>
      <c r="BS47" s="5"/>
      <c r="BT47" s="5"/>
      <c r="BU47" s="6"/>
    </row>
    <row r="48" spans="1:84">
      <c r="B48" s="127" t="s">
        <v>277</v>
      </c>
      <c r="C48" s="140">
        <f>IF(C33=0,"no data", AVERAGE(C33:C37))</f>
        <v>85.322000000000003</v>
      </c>
      <c r="D48" s="140">
        <f>IF(D33=0,"no data", AVERAGE(D33:D37))</f>
        <v>0.65044000000000002</v>
      </c>
      <c r="E48" s="140">
        <f>IF(E33=0,"no data", AVERAGE(E33:E37))</f>
        <v>72.736000000000004</v>
      </c>
      <c r="F48" s="140">
        <f>IF(F33=0,"no data", AVERAGE(F33:F37))</f>
        <v>97.8</v>
      </c>
      <c r="G48" s="140">
        <f>IF(G33=0,"no data", AVERAGE(G33:G37))</f>
        <v>76</v>
      </c>
      <c r="H48" s="137">
        <f>SUM(H27:H33)+INT(SUM(I27:I33)/60)</f>
        <v>134</v>
      </c>
      <c r="I48" s="137">
        <f t="shared" si="30"/>
        <v>74</v>
      </c>
      <c r="J48" s="137">
        <f t="shared" si="30"/>
        <v>168</v>
      </c>
      <c r="K48" s="137">
        <f t="shared" si="30"/>
        <v>0</v>
      </c>
      <c r="L48" s="137">
        <f t="shared" si="30"/>
        <v>32</v>
      </c>
      <c r="M48" s="137">
        <f t="shared" si="30"/>
        <v>88</v>
      </c>
      <c r="N48" s="137">
        <f t="shared" si="30"/>
        <v>0</v>
      </c>
      <c r="O48" s="137">
        <f t="shared" si="30"/>
        <v>0</v>
      </c>
      <c r="P48" s="137">
        <f>SUM(P27:P33)+INT(SUM(Q27:Q33)/60)</f>
        <v>15</v>
      </c>
      <c r="Q48" s="137">
        <f>SUM(Q27:Q33)-INT(SUM(Q27:Q33)/60)*60</f>
        <v>20</v>
      </c>
      <c r="R48" s="139">
        <f t="shared" si="31"/>
        <v>3533.2857142857142</v>
      </c>
      <c r="S48" s="139">
        <f t="shared" si="31"/>
        <v>3074.5714285714284</v>
      </c>
      <c r="T48" s="139">
        <f t="shared" si="31"/>
        <v>2737.7142857142858</v>
      </c>
      <c r="U48" s="139" t="e">
        <f>IF(#REF!=0,"no data", SUM(#REF!))</f>
        <v>#REF!</v>
      </c>
      <c r="V48" s="139" t="e">
        <f>IF(#REF!=0,"no data", SUM(#REF!))</f>
        <v>#REF!</v>
      </c>
      <c r="W48" s="146" t="e">
        <f>IF(#REF!=0,"no data", AVERAGE(#REF!))</f>
        <v>#REF!</v>
      </c>
      <c r="X48" s="140" t="e">
        <f>IF(AND(#REF!=0,#REF!=0,#REF!=0,#REF!=0,#REF!=0,#REF!=0,#REF!=0),"No outage",SUM(#REF!))</f>
        <v>#REF!</v>
      </c>
      <c r="Y48" s="146" t="e">
        <f>IF(#REF!=0,"no data", AVERAGE(#REF!))</f>
        <v>#REF!</v>
      </c>
      <c r="Z48" s="140" t="e">
        <f>IF(AND(#REF!=0,#REF!=0,#REF!=0,#REF!=0,#REF!=0,#REF!=0,#REF!=0),"No outage",SUM(#REF!))</f>
        <v>#REF!</v>
      </c>
      <c r="AA48" s="140" t="e">
        <f>IF(AND(#REF!=0,#REF!=0,#REF!=0,#REF!=0,#REF!=0,#REF!=0,#REF!=0),"No outage",SUM(#REF!))</f>
        <v>#REF!</v>
      </c>
      <c r="AB48" s="132" t="e">
        <f>IF(#REF!=0,"no data", AVERAGE(#REF!))</f>
        <v>#REF!</v>
      </c>
      <c r="AC48" s="139" t="e">
        <f>IF(#REF!=0,"no data", SUM(#REF!))</f>
        <v>#REF!</v>
      </c>
      <c r="AD48" s="139" t="e">
        <f>IF(#REF!=0,"no data", SUM(#REF!))</f>
        <v>#REF!</v>
      </c>
      <c r="AE48" s="146" t="e">
        <f>IF(#REF!=0,"no data", AVERAGE(#REF!))</f>
        <v>#REF!</v>
      </c>
      <c r="AF48" s="138" t="e">
        <f>IF(#REF!=0,"no data", AVERAGE(#REF!))</f>
        <v>#REF!</v>
      </c>
      <c r="AG48" s="140" t="e">
        <f>IF(#REF!=0,"no data", AVERAGE(#REF!))</f>
        <v>#REF!</v>
      </c>
      <c r="AH48" s="138" t="e">
        <f>IF(#REF!=0,"no data", AVERAGE(#REF!))</f>
        <v>#REF!</v>
      </c>
      <c r="AI48" s="138" t="e">
        <f>IF(AI27=0,"no data", AVERAGE(#REF!))</f>
        <v>#REF!</v>
      </c>
      <c r="AJ48" s="138" t="e">
        <f>IF(#REF!=0,"no data", AVERAGE(#REF!))</f>
        <v>#REF!</v>
      </c>
      <c r="AK48" s="139" t="e">
        <f>IF(#REF!=0,"no data", SUM(#REF!))</f>
        <v>#REF!</v>
      </c>
      <c r="AL48" s="140" t="e">
        <f>IF(#REF!=0,"no data", AVERAGE(#REF!))</f>
        <v>#REF!</v>
      </c>
      <c r="AM48" s="140" t="e">
        <f>AK48*AL48</f>
        <v>#REF!</v>
      </c>
      <c r="AN48" s="140" t="e">
        <f>IF(#REF!=0,"no data", SUM(#REF!))</f>
        <v>#REF!</v>
      </c>
      <c r="AO48" s="140" t="e">
        <f>IF(#REF!=0,"no data", AVERAGE(#REF!))</f>
        <v>#REF!</v>
      </c>
      <c r="AP48" s="140" t="e">
        <f>AN48*AO48</f>
        <v>#REF!</v>
      </c>
      <c r="AQ48" s="140" t="e">
        <f>IF(#REF!=0,"no data", AVERAGE(#REF!))</f>
        <v>#REF!</v>
      </c>
      <c r="AR48" s="125"/>
      <c r="AS48" s="136"/>
      <c r="BA48" s="113"/>
      <c r="BC48" s="114"/>
      <c r="BS48" s="5"/>
      <c r="BT48" s="5"/>
      <c r="BU48" s="6"/>
    </row>
    <row r="49" spans="2:73">
      <c r="B49" s="147"/>
      <c r="C49" s="148"/>
      <c r="D49" s="148"/>
      <c r="E49" s="148"/>
      <c r="F49" s="148"/>
      <c r="G49" s="149"/>
      <c r="H49" s="149"/>
      <c r="I49" s="149"/>
      <c r="J49" s="149"/>
      <c r="K49" s="150"/>
      <c r="L49" s="150"/>
      <c r="M49" s="150"/>
      <c r="N49" s="150"/>
      <c r="O49" s="151"/>
      <c r="P49" s="151"/>
      <c r="Q49" s="148"/>
      <c r="R49" s="148"/>
      <c r="S49" s="148"/>
      <c r="T49" s="148"/>
      <c r="U49" s="148"/>
      <c r="V49" s="148"/>
      <c r="W49" s="148"/>
      <c r="X49" s="148"/>
      <c r="Y49" s="148"/>
      <c r="Z49" s="148"/>
      <c r="AA49" s="148"/>
      <c r="AB49" s="148"/>
      <c r="AC49" s="151"/>
      <c r="AD49" s="151"/>
      <c r="AE49" s="148"/>
      <c r="AF49" s="151"/>
      <c r="AG49" s="151"/>
      <c r="AH49" s="148"/>
      <c r="AI49" s="148"/>
      <c r="AJ49" s="148"/>
      <c r="AK49" s="148"/>
      <c r="AL49" s="148"/>
      <c r="AM49" s="148"/>
      <c r="AQ49" s="126"/>
      <c r="AR49" s="125"/>
      <c r="AS49" s="126"/>
      <c r="AT49" s="126"/>
      <c r="BA49" s="113"/>
      <c r="BC49" s="114"/>
      <c r="BS49" s="5"/>
      <c r="BT49" s="5"/>
      <c r="BU49" s="6"/>
    </row>
    <row r="50" spans="2:73" ht="15.75" thickBot="1">
      <c r="B50" s="147"/>
      <c r="C50" s="148"/>
      <c r="D50" s="148"/>
      <c r="E50" s="148"/>
      <c r="F50" s="148"/>
      <c r="G50" s="149"/>
      <c r="H50" s="149"/>
      <c r="I50" s="149"/>
      <c r="J50" s="149"/>
      <c r="K50" s="150"/>
      <c r="L50" s="150"/>
      <c r="M50" s="150"/>
      <c r="N50" s="150"/>
      <c r="O50" s="151"/>
      <c r="P50" s="151"/>
      <c r="Q50" s="148"/>
      <c r="R50" s="148"/>
      <c r="S50" s="148"/>
      <c r="T50" s="148"/>
      <c r="U50" s="148"/>
      <c r="V50" s="148"/>
      <c r="W50" s="148"/>
      <c r="X50" s="148"/>
      <c r="Y50" s="148"/>
      <c r="Z50" s="148"/>
      <c r="AA50" s="148"/>
      <c r="AB50" s="148"/>
      <c r="AC50" s="151"/>
      <c r="AD50" s="151"/>
      <c r="AE50" s="148"/>
      <c r="AF50" s="151"/>
      <c r="AG50" s="151"/>
      <c r="AH50" s="148"/>
      <c r="AI50" s="148"/>
      <c r="AJ50" s="148"/>
      <c r="AK50" s="148"/>
      <c r="AL50" s="148"/>
      <c r="AM50" s="148"/>
      <c r="AQ50" s="126"/>
      <c r="AR50" s="126"/>
      <c r="AS50" s="126"/>
      <c r="AT50" s="126"/>
      <c r="BA50" s="361"/>
      <c r="BC50" s="114"/>
      <c r="BS50" s="5"/>
      <c r="BT50" s="5"/>
      <c r="BU50" s="6"/>
    </row>
    <row r="51" spans="2:73" ht="16.5" thickTop="1">
      <c r="B51" s="152" t="s">
        <v>121</v>
      </c>
      <c r="C51" s="430" t="s">
        <v>122</v>
      </c>
      <c r="D51" s="431"/>
      <c r="E51" s="431"/>
      <c r="F51" s="431"/>
      <c r="G51" s="431"/>
      <c r="H51" s="431"/>
      <c r="I51" s="431"/>
      <c r="J51" s="431"/>
      <c r="K51" s="431"/>
      <c r="L51" s="431"/>
      <c r="M51" s="431"/>
      <c r="N51" s="431"/>
      <c r="O51" s="431"/>
      <c r="P51" s="431"/>
      <c r="Q51" s="431"/>
      <c r="R51" s="431"/>
      <c r="S51" s="431"/>
      <c r="T51" s="431"/>
      <c r="U51" s="431"/>
      <c r="V51" s="431"/>
      <c r="W51" s="431"/>
      <c r="X51" s="431"/>
      <c r="Y51" s="431"/>
      <c r="Z51" s="431"/>
      <c r="AA51" s="431"/>
      <c r="AB51" s="431"/>
      <c r="AC51" s="431"/>
      <c r="AD51" s="431"/>
      <c r="AE51" s="432"/>
      <c r="AF51" s="151"/>
      <c r="AG51" s="151"/>
      <c r="AH51" s="148"/>
      <c r="AI51" s="148"/>
      <c r="AJ51" s="148"/>
      <c r="AK51" s="148"/>
      <c r="AL51" s="148"/>
      <c r="AM51" s="148"/>
      <c r="AQ51" s="126"/>
      <c r="AR51" s="126"/>
      <c r="AS51" s="126"/>
      <c r="AT51" s="126"/>
      <c r="BA51" s="113"/>
      <c r="BS51" s="5"/>
      <c r="BT51" s="5"/>
      <c r="BU51" s="6"/>
    </row>
    <row r="52" spans="2:73" ht="15.75">
      <c r="B52" s="153">
        <f t="shared" ref="B52:B81" si="33">B10</f>
        <v>43344</v>
      </c>
      <c r="C52" s="526" t="s">
        <v>278</v>
      </c>
      <c r="D52" s="527"/>
      <c r="E52" s="527"/>
      <c r="F52" s="527"/>
      <c r="G52" s="527"/>
      <c r="H52" s="527"/>
      <c r="I52" s="527"/>
      <c r="J52" s="527"/>
      <c r="K52" s="527"/>
      <c r="L52" s="527"/>
      <c r="M52" s="527"/>
      <c r="N52" s="527"/>
      <c r="O52" s="527"/>
      <c r="P52" s="527"/>
      <c r="Q52" s="527"/>
      <c r="R52" s="527"/>
      <c r="S52" s="527"/>
      <c r="T52" s="527"/>
      <c r="U52" s="527"/>
      <c r="V52" s="527"/>
      <c r="W52" s="527"/>
      <c r="X52" s="527"/>
      <c r="Y52" s="527"/>
      <c r="Z52" s="527"/>
      <c r="AA52" s="527"/>
      <c r="AB52" s="527"/>
      <c r="AC52" s="527"/>
      <c r="AD52" s="527"/>
      <c r="AE52" s="528"/>
      <c r="AF52" s="151"/>
      <c r="AG52" s="151"/>
      <c r="AH52" s="148"/>
      <c r="AI52" s="148"/>
      <c r="AJ52" s="148"/>
      <c r="AK52" s="148"/>
      <c r="AL52" s="148"/>
      <c r="AM52" s="148"/>
      <c r="AQ52" s="126"/>
      <c r="AR52" s="126"/>
      <c r="AS52" s="126"/>
      <c r="AT52" s="126"/>
      <c r="BA52" s="113"/>
      <c r="BS52" s="5"/>
      <c r="BT52" s="5"/>
      <c r="BU52" s="6"/>
    </row>
    <row r="53" spans="2:73" ht="15.75">
      <c r="B53" s="153">
        <f t="shared" si="33"/>
        <v>43345</v>
      </c>
      <c r="C53" s="526" t="s">
        <v>278</v>
      </c>
      <c r="D53" s="527"/>
      <c r="E53" s="527"/>
      <c r="F53" s="527"/>
      <c r="G53" s="527"/>
      <c r="H53" s="527"/>
      <c r="I53" s="527"/>
      <c r="J53" s="527"/>
      <c r="K53" s="527"/>
      <c r="L53" s="527"/>
      <c r="M53" s="527"/>
      <c r="N53" s="527"/>
      <c r="O53" s="527"/>
      <c r="P53" s="527"/>
      <c r="Q53" s="527"/>
      <c r="R53" s="527"/>
      <c r="S53" s="527"/>
      <c r="T53" s="527"/>
      <c r="U53" s="527"/>
      <c r="V53" s="527"/>
      <c r="W53" s="527"/>
      <c r="X53" s="527"/>
      <c r="Y53" s="527"/>
      <c r="Z53" s="527"/>
      <c r="AA53" s="527"/>
      <c r="AB53" s="527"/>
      <c r="AC53" s="527"/>
      <c r="AD53" s="527"/>
      <c r="AE53" s="528"/>
      <c r="AF53" s="151"/>
      <c r="AG53" s="151"/>
      <c r="AH53" s="148"/>
      <c r="AI53" s="148"/>
      <c r="AJ53" s="148"/>
      <c r="AK53" s="148"/>
      <c r="AL53" s="148"/>
      <c r="AM53" s="148"/>
      <c r="AQ53" s="126"/>
      <c r="AR53" s="126"/>
      <c r="AS53" s="126"/>
      <c r="AT53" s="126"/>
      <c r="BA53" s="113"/>
      <c r="BS53" s="5"/>
      <c r="BT53" s="5"/>
      <c r="BU53" s="6"/>
    </row>
    <row r="54" spans="2:73" ht="15.75">
      <c r="B54" s="153">
        <f t="shared" si="33"/>
        <v>43346</v>
      </c>
      <c r="C54" s="526" t="s">
        <v>239</v>
      </c>
      <c r="D54" s="527"/>
      <c r="E54" s="527"/>
      <c r="F54" s="527"/>
      <c r="G54" s="527"/>
      <c r="H54" s="527"/>
      <c r="I54" s="527"/>
      <c r="J54" s="527"/>
      <c r="K54" s="527"/>
      <c r="L54" s="527"/>
      <c r="M54" s="527"/>
      <c r="N54" s="527"/>
      <c r="O54" s="527"/>
      <c r="P54" s="527"/>
      <c r="Q54" s="527"/>
      <c r="R54" s="527"/>
      <c r="S54" s="527"/>
      <c r="T54" s="527"/>
      <c r="U54" s="527"/>
      <c r="V54" s="527"/>
      <c r="W54" s="527"/>
      <c r="X54" s="527"/>
      <c r="Y54" s="527"/>
      <c r="Z54" s="527"/>
      <c r="AA54" s="527"/>
      <c r="AB54" s="527"/>
      <c r="AC54" s="527"/>
      <c r="AD54" s="527"/>
      <c r="AE54" s="528"/>
      <c r="AF54" s="151"/>
      <c r="AG54" s="151"/>
      <c r="AH54" s="148"/>
      <c r="AI54" s="148"/>
      <c r="AJ54" s="148"/>
      <c r="AK54" s="148"/>
      <c r="AL54" s="148"/>
      <c r="AM54" s="148"/>
      <c r="AQ54" s="126"/>
      <c r="AR54" s="126"/>
      <c r="AS54" s="126"/>
      <c r="AT54" s="126"/>
      <c r="BA54" s="113"/>
      <c r="BS54" s="5"/>
      <c r="BT54" s="5"/>
      <c r="BU54" s="6"/>
    </row>
    <row r="55" spans="2:73" ht="15.75">
      <c r="B55" s="153">
        <f t="shared" si="33"/>
        <v>43347</v>
      </c>
      <c r="C55" s="526" t="s">
        <v>278</v>
      </c>
      <c r="D55" s="527"/>
      <c r="E55" s="527"/>
      <c r="F55" s="527"/>
      <c r="G55" s="527"/>
      <c r="H55" s="527"/>
      <c r="I55" s="527"/>
      <c r="J55" s="527"/>
      <c r="K55" s="527"/>
      <c r="L55" s="527"/>
      <c r="M55" s="527"/>
      <c r="N55" s="527"/>
      <c r="O55" s="527"/>
      <c r="P55" s="527"/>
      <c r="Q55" s="527"/>
      <c r="R55" s="527"/>
      <c r="S55" s="527"/>
      <c r="T55" s="527"/>
      <c r="U55" s="527"/>
      <c r="V55" s="527"/>
      <c r="W55" s="527"/>
      <c r="X55" s="527"/>
      <c r="Y55" s="527"/>
      <c r="Z55" s="527"/>
      <c r="AA55" s="527"/>
      <c r="AB55" s="527"/>
      <c r="AC55" s="527"/>
      <c r="AD55" s="527"/>
      <c r="AE55" s="528"/>
      <c r="AF55" s="151"/>
      <c r="AG55" s="151"/>
      <c r="AH55" s="148"/>
      <c r="AI55" s="148"/>
      <c r="AJ55" s="148"/>
      <c r="AK55" s="148"/>
      <c r="AL55" s="148"/>
      <c r="AM55" s="148"/>
      <c r="AQ55" s="126"/>
      <c r="AR55" s="126"/>
      <c r="AS55" s="126"/>
      <c r="AT55" s="126"/>
      <c r="BA55" s="113"/>
      <c r="BS55" s="5"/>
      <c r="BT55" s="5"/>
      <c r="BU55" s="6"/>
    </row>
    <row r="56" spans="2:73" ht="15.75">
      <c r="B56" s="153">
        <f t="shared" si="33"/>
        <v>43348</v>
      </c>
      <c r="C56" s="526" t="s">
        <v>228</v>
      </c>
      <c r="D56" s="527"/>
      <c r="E56" s="527"/>
      <c r="F56" s="527"/>
      <c r="G56" s="527"/>
      <c r="H56" s="527"/>
      <c r="I56" s="527"/>
      <c r="J56" s="527"/>
      <c r="K56" s="527"/>
      <c r="L56" s="527"/>
      <c r="M56" s="527"/>
      <c r="N56" s="527"/>
      <c r="O56" s="527"/>
      <c r="P56" s="527"/>
      <c r="Q56" s="527"/>
      <c r="R56" s="527"/>
      <c r="S56" s="527"/>
      <c r="T56" s="527"/>
      <c r="U56" s="527"/>
      <c r="V56" s="527"/>
      <c r="W56" s="527"/>
      <c r="X56" s="527"/>
      <c r="Y56" s="527"/>
      <c r="Z56" s="527"/>
      <c r="AA56" s="527"/>
      <c r="AB56" s="527"/>
      <c r="AC56" s="527"/>
      <c r="AD56" s="527"/>
      <c r="AE56" s="528"/>
      <c r="AF56" s="151"/>
      <c r="AG56" s="151"/>
      <c r="AH56" s="148"/>
      <c r="AI56" s="148"/>
      <c r="AJ56" s="148"/>
      <c r="AK56" s="148"/>
      <c r="AL56" s="148"/>
      <c r="AM56" s="148"/>
      <c r="AQ56" s="126"/>
      <c r="AR56" s="126"/>
      <c r="AS56" s="126"/>
      <c r="AT56" s="126"/>
      <c r="BA56" s="113"/>
      <c r="BS56" s="5"/>
      <c r="BT56" s="5"/>
      <c r="BU56" s="6"/>
    </row>
    <row r="57" spans="2:73" ht="15.75">
      <c r="B57" s="153">
        <f t="shared" si="33"/>
        <v>43349</v>
      </c>
      <c r="C57" s="526" t="s">
        <v>278</v>
      </c>
      <c r="D57" s="527"/>
      <c r="E57" s="527"/>
      <c r="F57" s="527"/>
      <c r="G57" s="527"/>
      <c r="H57" s="527"/>
      <c r="I57" s="527"/>
      <c r="J57" s="527"/>
      <c r="K57" s="527"/>
      <c r="L57" s="527"/>
      <c r="M57" s="527"/>
      <c r="N57" s="527"/>
      <c r="O57" s="527"/>
      <c r="P57" s="527"/>
      <c r="Q57" s="527"/>
      <c r="R57" s="527"/>
      <c r="S57" s="527"/>
      <c r="T57" s="527"/>
      <c r="U57" s="527"/>
      <c r="V57" s="527"/>
      <c r="W57" s="527"/>
      <c r="X57" s="527"/>
      <c r="Y57" s="527"/>
      <c r="Z57" s="527"/>
      <c r="AA57" s="527"/>
      <c r="AB57" s="527"/>
      <c r="AC57" s="527"/>
      <c r="AD57" s="527"/>
      <c r="AE57" s="528"/>
      <c r="AF57" s="151"/>
      <c r="AG57" s="151"/>
      <c r="AH57" s="148"/>
      <c r="AI57" s="148"/>
      <c r="AJ57" s="148"/>
      <c r="AK57" s="148"/>
      <c r="AL57" s="148"/>
      <c r="AM57" s="148"/>
      <c r="AQ57" s="126"/>
      <c r="AR57" s="126"/>
      <c r="AS57" s="126"/>
      <c r="AT57" s="126"/>
      <c r="BA57" s="113"/>
      <c r="BS57" s="5"/>
      <c r="BT57" s="5"/>
      <c r="BU57" s="6"/>
    </row>
    <row r="58" spans="2:73" ht="15.75">
      <c r="B58" s="153">
        <f t="shared" si="33"/>
        <v>43350</v>
      </c>
      <c r="C58" s="526" t="s">
        <v>223</v>
      </c>
      <c r="D58" s="527"/>
      <c r="E58" s="527"/>
      <c r="F58" s="527"/>
      <c r="G58" s="527"/>
      <c r="H58" s="527"/>
      <c r="I58" s="527"/>
      <c r="J58" s="527"/>
      <c r="K58" s="527"/>
      <c r="L58" s="527"/>
      <c r="M58" s="527"/>
      <c r="N58" s="527"/>
      <c r="O58" s="527"/>
      <c r="P58" s="527"/>
      <c r="Q58" s="527"/>
      <c r="R58" s="527"/>
      <c r="S58" s="527"/>
      <c r="T58" s="527"/>
      <c r="U58" s="527"/>
      <c r="V58" s="527"/>
      <c r="W58" s="527"/>
      <c r="X58" s="527"/>
      <c r="Y58" s="527"/>
      <c r="Z58" s="527"/>
      <c r="AA58" s="527"/>
      <c r="AB58" s="527"/>
      <c r="AC58" s="527"/>
      <c r="AD58" s="527"/>
      <c r="AE58" s="528"/>
      <c r="AF58" s="151"/>
      <c r="AG58" s="151"/>
      <c r="AH58" s="148"/>
      <c r="AI58" s="148"/>
      <c r="AJ58" s="148"/>
      <c r="AK58" s="148"/>
      <c r="AL58" s="148"/>
      <c r="AM58" s="148"/>
      <c r="AQ58" s="126"/>
      <c r="AR58" s="126"/>
      <c r="AS58" s="126"/>
      <c r="AT58" s="126"/>
      <c r="BA58" s="113"/>
      <c r="BS58" s="5"/>
      <c r="BT58" s="5"/>
      <c r="BU58" s="6"/>
    </row>
    <row r="59" spans="2:73" ht="15.75">
      <c r="B59" s="153">
        <f t="shared" si="33"/>
        <v>43351</v>
      </c>
      <c r="C59" s="526" t="s">
        <v>279</v>
      </c>
      <c r="D59" s="527"/>
      <c r="E59" s="527"/>
      <c r="F59" s="527"/>
      <c r="G59" s="527"/>
      <c r="H59" s="527"/>
      <c r="I59" s="527"/>
      <c r="J59" s="527"/>
      <c r="K59" s="527"/>
      <c r="L59" s="527"/>
      <c r="M59" s="527"/>
      <c r="N59" s="527"/>
      <c r="O59" s="527"/>
      <c r="P59" s="527"/>
      <c r="Q59" s="527"/>
      <c r="R59" s="527"/>
      <c r="S59" s="527"/>
      <c r="T59" s="527"/>
      <c r="U59" s="527"/>
      <c r="V59" s="527"/>
      <c r="W59" s="527"/>
      <c r="X59" s="527"/>
      <c r="Y59" s="527"/>
      <c r="Z59" s="527"/>
      <c r="AA59" s="527"/>
      <c r="AB59" s="527"/>
      <c r="AC59" s="527"/>
      <c r="AD59" s="527"/>
      <c r="AE59" s="528"/>
      <c r="AF59" s="151"/>
      <c r="AG59" s="151"/>
      <c r="AH59" s="148"/>
      <c r="AI59" s="148"/>
      <c r="AJ59" s="148"/>
      <c r="AK59" s="148"/>
      <c r="AL59" s="148"/>
      <c r="AM59" s="148"/>
      <c r="AQ59" s="126"/>
      <c r="AR59" s="126"/>
      <c r="AS59" s="126"/>
      <c r="AT59" s="126"/>
      <c r="BA59" s="113"/>
      <c r="BS59" s="5"/>
      <c r="BT59" s="5"/>
      <c r="BU59" s="6"/>
    </row>
    <row r="60" spans="2:73" ht="15.75">
      <c r="B60" s="153">
        <f t="shared" si="33"/>
        <v>43352</v>
      </c>
      <c r="C60" s="526" t="s">
        <v>280</v>
      </c>
      <c r="D60" s="527"/>
      <c r="E60" s="527"/>
      <c r="F60" s="527"/>
      <c r="G60" s="527"/>
      <c r="H60" s="527"/>
      <c r="I60" s="527"/>
      <c r="J60" s="527"/>
      <c r="K60" s="527"/>
      <c r="L60" s="527"/>
      <c r="M60" s="527"/>
      <c r="N60" s="527"/>
      <c r="O60" s="527"/>
      <c r="P60" s="527"/>
      <c r="Q60" s="527"/>
      <c r="R60" s="527"/>
      <c r="S60" s="527"/>
      <c r="T60" s="527"/>
      <c r="U60" s="527"/>
      <c r="V60" s="527"/>
      <c r="W60" s="527"/>
      <c r="X60" s="527"/>
      <c r="Y60" s="527"/>
      <c r="Z60" s="527"/>
      <c r="AA60" s="527"/>
      <c r="AB60" s="527"/>
      <c r="AC60" s="527"/>
      <c r="AD60" s="527"/>
      <c r="AE60" s="528"/>
      <c r="AF60" s="151"/>
      <c r="AG60" s="151"/>
      <c r="AH60" s="148"/>
      <c r="AI60" s="148"/>
      <c r="AJ60" s="148"/>
      <c r="AK60" s="148"/>
      <c r="AL60" s="148"/>
      <c r="AM60" s="148"/>
      <c r="AQ60" s="126"/>
      <c r="AR60" s="126"/>
      <c r="AS60" s="126"/>
      <c r="AT60" s="126"/>
      <c r="BA60" s="113"/>
      <c r="BS60" s="5"/>
      <c r="BT60" s="5"/>
      <c r="BU60" s="6"/>
    </row>
    <row r="61" spans="2:73" ht="15.75">
      <c r="B61" s="153">
        <f t="shared" si="33"/>
        <v>43353</v>
      </c>
      <c r="C61" s="526" t="s">
        <v>280</v>
      </c>
      <c r="D61" s="527"/>
      <c r="E61" s="527"/>
      <c r="F61" s="527"/>
      <c r="G61" s="527"/>
      <c r="H61" s="527"/>
      <c r="I61" s="527"/>
      <c r="J61" s="527"/>
      <c r="K61" s="527"/>
      <c r="L61" s="527"/>
      <c r="M61" s="527"/>
      <c r="N61" s="527"/>
      <c r="O61" s="527"/>
      <c r="P61" s="527"/>
      <c r="Q61" s="527"/>
      <c r="R61" s="527"/>
      <c r="S61" s="527"/>
      <c r="T61" s="527"/>
      <c r="U61" s="527"/>
      <c r="V61" s="527"/>
      <c r="W61" s="527"/>
      <c r="X61" s="527"/>
      <c r="Y61" s="527"/>
      <c r="Z61" s="527"/>
      <c r="AA61" s="527"/>
      <c r="AB61" s="527"/>
      <c r="AC61" s="527"/>
      <c r="AD61" s="527"/>
      <c r="AE61" s="528"/>
      <c r="AF61" s="151"/>
      <c r="AG61" s="151"/>
      <c r="AH61" s="148"/>
      <c r="AI61" s="148"/>
      <c r="AJ61" s="148"/>
      <c r="AK61" s="148"/>
      <c r="AL61" s="148"/>
      <c r="AM61" s="148"/>
      <c r="AQ61" s="126"/>
      <c r="AR61" s="126"/>
      <c r="AS61" s="126"/>
      <c r="AT61" s="126"/>
      <c r="BA61" s="113"/>
      <c r="BS61" s="5"/>
      <c r="BT61" s="5"/>
      <c r="BU61" s="6"/>
    </row>
    <row r="62" spans="2:73" ht="15.75">
      <c r="B62" s="153">
        <f t="shared" si="33"/>
        <v>43354</v>
      </c>
      <c r="C62" s="526" t="s">
        <v>279</v>
      </c>
      <c r="D62" s="527"/>
      <c r="E62" s="527"/>
      <c r="F62" s="527"/>
      <c r="G62" s="527"/>
      <c r="H62" s="527"/>
      <c r="I62" s="527"/>
      <c r="J62" s="527"/>
      <c r="K62" s="527"/>
      <c r="L62" s="527"/>
      <c r="M62" s="527"/>
      <c r="N62" s="527"/>
      <c r="O62" s="527"/>
      <c r="P62" s="527"/>
      <c r="Q62" s="527"/>
      <c r="R62" s="527"/>
      <c r="S62" s="527"/>
      <c r="T62" s="527"/>
      <c r="U62" s="527"/>
      <c r="V62" s="527"/>
      <c r="W62" s="527"/>
      <c r="X62" s="527"/>
      <c r="Y62" s="527"/>
      <c r="Z62" s="527"/>
      <c r="AA62" s="527"/>
      <c r="AB62" s="527"/>
      <c r="AC62" s="527"/>
      <c r="AD62" s="527"/>
      <c r="AE62" s="528"/>
      <c r="AF62" s="151"/>
      <c r="AG62" s="151"/>
      <c r="AH62" s="148"/>
      <c r="AI62" s="148"/>
      <c r="AJ62" s="148"/>
      <c r="AK62" s="148"/>
      <c r="AL62" s="148"/>
      <c r="AM62" s="148"/>
      <c r="AQ62" s="126"/>
      <c r="AR62" s="126"/>
      <c r="AS62" s="126"/>
      <c r="AT62" s="126"/>
      <c r="BA62" s="113"/>
      <c r="BS62" s="5"/>
      <c r="BT62" s="5"/>
      <c r="BU62" s="6"/>
    </row>
    <row r="63" spans="2:73" ht="15.75">
      <c r="B63" s="153">
        <f t="shared" si="33"/>
        <v>43355</v>
      </c>
      <c r="C63" s="526" t="s">
        <v>281</v>
      </c>
      <c r="D63" s="527"/>
      <c r="E63" s="527"/>
      <c r="F63" s="527"/>
      <c r="G63" s="527"/>
      <c r="H63" s="527"/>
      <c r="I63" s="527"/>
      <c r="J63" s="527"/>
      <c r="K63" s="527"/>
      <c r="L63" s="527"/>
      <c r="M63" s="527"/>
      <c r="N63" s="527"/>
      <c r="O63" s="527"/>
      <c r="P63" s="527"/>
      <c r="Q63" s="527"/>
      <c r="R63" s="527"/>
      <c r="S63" s="527"/>
      <c r="T63" s="527"/>
      <c r="U63" s="527"/>
      <c r="V63" s="527"/>
      <c r="W63" s="527"/>
      <c r="X63" s="527"/>
      <c r="Y63" s="527"/>
      <c r="Z63" s="527"/>
      <c r="AA63" s="527"/>
      <c r="AB63" s="527"/>
      <c r="AC63" s="527"/>
      <c r="AD63" s="527"/>
      <c r="AE63" s="528"/>
      <c r="AF63" s="151"/>
      <c r="AG63" s="151"/>
      <c r="AH63" s="148"/>
      <c r="AI63" s="148"/>
      <c r="AJ63" s="148"/>
      <c r="AK63" s="148"/>
      <c r="AL63" s="148"/>
      <c r="AM63" s="148"/>
      <c r="AQ63" s="126"/>
      <c r="AR63" s="126"/>
      <c r="AS63" s="126"/>
      <c r="AT63" s="126"/>
      <c r="BA63" s="113"/>
      <c r="BS63" s="5"/>
      <c r="BT63" s="5"/>
      <c r="BU63" s="6"/>
    </row>
    <row r="64" spans="2:73" ht="15.75">
      <c r="B64" s="153">
        <f t="shared" si="33"/>
        <v>43356</v>
      </c>
      <c r="C64" s="526" t="s">
        <v>282</v>
      </c>
      <c r="D64" s="527"/>
      <c r="E64" s="527"/>
      <c r="F64" s="527"/>
      <c r="G64" s="527"/>
      <c r="H64" s="527"/>
      <c r="I64" s="527"/>
      <c r="J64" s="527"/>
      <c r="K64" s="527"/>
      <c r="L64" s="527"/>
      <c r="M64" s="527"/>
      <c r="N64" s="527"/>
      <c r="O64" s="527"/>
      <c r="P64" s="527"/>
      <c r="Q64" s="527"/>
      <c r="R64" s="527"/>
      <c r="S64" s="527"/>
      <c r="T64" s="527"/>
      <c r="U64" s="527"/>
      <c r="V64" s="527"/>
      <c r="W64" s="527"/>
      <c r="X64" s="527"/>
      <c r="Y64" s="527"/>
      <c r="Z64" s="527"/>
      <c r="AA64" s="527"/>
      <c r="AB64" s="527"/>
      <c r="AC64" s="527"/>
      <c r="AD64" s="527"/>
      <c r="AE64" s="528"/>
      <c r="AF64" s="151"/>
      <c r="AG64" s="151"/>
      <c r="AH64" s="148"/>
      <c r="AI64" s="148"/>
      <c r="AJ64" s="148"/>
      <c r="AK64" s="148"/>
      <c r="AL64" s="148"/>
      <c r="AM64" s="148"/>
      <c r="AQ64" s="126"/>
      <c r="AR64" s="126"/>
      <c r="AS64" s="126"/>
      <c r="AT64" s="126"/>
      <c r="BA64" s="113"/>
      <c r="BS64" s="5"/>
      <c r="BT64" s="5"/>
      <c r="BU64" s="6"/>
    </row>
    <row r="65" spans="2:73" ht="15.75">
      <c r="B65" s="153">
        <f t="shared" si="33"/>
        <v>43357</v>
      </c>
      <c r="C65" s="526" t="s">
        <v>283</v>
      </c>
      <c r="D65" s="527"/>
      <c r="E65" s="527"/>
      <c r="F65" s="527"/>
      <c r="G65" s="527"/>
      <c r="H65" s="527"/>
      <c r="I65" s="527"/>
      <c r="J65" s="527"/>
      <c r="K65" s="527"/>
      <c r="L65" s="527"/>
      <c r="M65" s="527"/>
      <c r="N65" s="527"/>
      <c r="O65" s="527"/>
      <c r="P65" s="527"/>
      <c r="Q65" s="527"/>
      <c r="R65" s="527"/>
      <c r="S65" s="527"/>
      <c r="T65" s="527"/>
      <c r="U65" s="527"/>
      <c r="V65" s="527"/>
      <c r="W65" s="527"/>
      <c r="X65" s="527"/>
      <c r="Y65" s="527"/>
      <c r="Z65" s="527"/>
      <c r="AA65" s="527"/>
      <c r="AB65" s="527"/>
      <c r="AC65" s="527"/>
      <c r="AD65" s="527"/>
      <c r="AE65" s="528"/>
      <c r="AF65" s="151"/>
      <c r="AG65" s="151"/>
      <c r="AH65" s="148"/>
      <c r="AI65" s="148"/>
      <c r="AJ65" s="148"/>
      <c r="AK65" s="148"/>
      <c r="AL65" s="148"/>
      <c r="AM65" s="148"/>
      <c r="AQ65" s="126"/>
      <c r="AR65" s="126"/>
      <c r="AS65" s="126"/>
      <c r="AT65" s="126"/>
      <c r="BA65" s="113"/>
      <c r="BS65" s="5"/>
      <c r="BT65" s="5"/>
      <c r="BU65" s="6"/>
    </row>
    <row r="66" spans="2:73" ht="15.75">
      <c r="B66" s="153">
        <f t="shared" si="33"/>
        <v>43358</v>
      </c>
      <c r="C66" s="526" t="s">
        <v>284</v>
      </c>
      <c r="D66" s="527"/>
      <c r="E66" s="527"/>
      <c r="F66" s="527"/>
      <c r="G66" s="527"/>
      <c r="H66" s="527"/>
      <c r="I66" s="527"/>
      <c r="J66" s="527"/>
      <c r="K66" s="527"/>
      <c r="L66" s="527"/>
      <c r="M66" s="527"/>
      <c r="N66" s="527"/>
      <c r="O66" s="527"/>
      <c r="P66" s="527"/>
      <c r="Q66" s="527"/>
      <c r="R66" s="527"/>
      <c r="S66" s="527"/>
      <c r="T66" s="527"/>
      <c r="U66" s="527"/>
      <c r="V66" s="527"/>
      <c r="W66" s="527"/>
      <c r="X66" s="527"/>
      <c r="Y66" s="527"/>
      <c r="Z66" s="527"/>
      <c r="AA66" s="527"/>
      <c r="AB66" s="527"/>
      <c r="AC66" s="527"/>
      <c r="AD66" s="527"/>
      <c r="AE66" s="528"/>
      <c r="AF66" s="151"/>
      <c r="AG66" s="151"/>
      <c r="AH66" s="148"/>
      <c r="AI66" s="148"/>
      <c r="AJ66" s="148"/>
      <c r="AK66" s="148"/>
      <c r="AL66" s="148"/>
      <c r="AM66" s="148"/>
      <c r="AQ66" s="126"/>
      <c r="AR66" s="126"/>
      <c r="AS66" s="126"/>
      <c r="AT66" s="126"/>
      <c r="BA66" s="113"/>
      <c r="BS66" s="5"/>
      <c r="BT66" s="5"/>
      <c r="BU66" s="6"/>
    </row>
    <row r="67" spans="2:73" ht="15.75">
      <c r="B67" s="153">
        <f t="shared" si="33"/>
        <v>43359</v>
      </c>
      <c r="C67" s="526" t="s">
        <v>284</v>
      </c>
      <c r="D67" s="527"/>
      <c r="E67" s="527"/>
      <c r="F67" s="527"/>
      <c r="G67" s="527"/>
      <c r="H67" s="527"/>
      <c r="I67" s="527"/>
      <c r="J67" s="527"/>
      <c r="K67" s="527"/>
      <c r="L67" s="527"/>
      <c r="M67" s="527"/>
      <c r="N67" s="527"/>
      <c r="O67" s="527"/>
      <c r="P67" s="527"/>
      <c r="Q67" s="527"/>
      <c r="R67" s="527"/>
      <c r="S67" s="527"/>
      <c r="T67" s="527"/>
      <c r="U67" s="527"/>
      <c r="V67" s="527"/>
      <c r="W67" s="527"/>
      <c r="X67" s="527"/>
      <c r="Y67" s="527"/>
      <c r="Z67" s="527"/>
      <c r="AA67" s="527"/>
      <c r="AB67" s="527"/>
      <c r="AC67" s="527"/>
      <c r="AD67" s="527"/>
      <c r="AE67" s="528"/>
      <c r="AF67" s="151"/>
      <c r="AG67" s="151"/>
      <c r="AH67" s="148"/>
      <c r="AI67" s="148"/>
      <c r="AJ67" s="148"/>
      <c r="AK67" s="148"/>
      <c r="AL67" s="148"/>
      <c r="AM67" s="148"/>
      <c r="AQ67" s="126"/>
      <c r="AR67" s="126"/>
      <c r="AS67" s="126"/>
      <c r="AT67" s="126"/>
      <c r="BA67" s="113"/>
      <c r="BS67" s="5"/>
      <c r="BT67" s="5"/>
      <c r="BU67" s="6"/>
    </row>
    <row r="68" spans="2:73" ht="15.75">
      <c r="B68" s="153">
        <f t="shared" si="33"/>
        <v>43360</v>
      </c>
      <c r="C68" s="526" t="s">
        <v>283</v>
      </c>
      <c r="D68" s="527"/>
      <c r="E68" s="527"/>
      <c r="F68" s="527"/>
      <c r="G68" s="527"/>
      <c r="H68" s="527"/>
      <c r="I68" s="527"/>
      <c r="J68" s="527"/>
      <c r="K68" s="527"/>
      <c r="L68" s="527"/>
      <c r="M68" s="527"/>
      <c r="N68" s="527"/>
      <c r="O68" s="527"/>
      <c r="P68" s="527"/>
      <c r="Q68" s="527"/>
      <c r="R68" s="527"/>
      <c r="S68" s="527"/>
      <c r="T68" s="527"/>
      <c r="U68" s="527"/>
      <c r="V68" s="527"/>
      <c r="W68" s="527"/>
      <c r="X68" s="527"/>
      <c r="Y68" s="527"/>
      <c r="Z68" s="527"/>
      <c r="AA68" s="527"/>
      <c r="AB68" s="527"/>
      <c r="AC68" s="527"/>
      <c r="AD68" s="527"/>
      <c r="AE68" s="528"/>
      <c r="AF68" s="151"/>
      <c r="AG68" s="151"/>
      <c r="AH68" s="148"/>
      <c r="AI68" s="148"/>
      <c r="AJ68" s="148"/>
      <c r="AK68" s="148"/>
      <c r="AL68" s="148"/>
      <c r="AM68" s="148"/>
      <c r="AQ68" s="126"/>
      <c r="AR68" s="126"/>
      <c r="AS68" s="126"/>
      <c r="AT68" s="126"/>
      <c r="BA68" s="113"/>
      <c r="BS68" s="5"/>
      <c r="BT68" s="5"/>
      <c r="BU68" s="6"/>
    </row>
    <row r="69" spans="2:73" ht="15.75">
      <c r="B69" s="153">
        <f t="shared" si="33"/>
        <v>43361</v>
      </c>
      <c r="C69" s="526" t="s">
        <v>285</v>
      </c>
      <c r="D69" s="527"/>
      <c r="E69" s="527"/>
      <c r="F69" s="527"/>
      <c r="G69" s="527"/>
      <c r="H69" s="527"/>
      <c r="I69" s="527"/>
      <c r="J69" s="527"/>
      <c r="K69" s="527"/>
      <c r="L69" s="527"/>
      <c r="M69" s="527"/>
      <c r="N69" s="527"/>
      <c r="O69" s="527"/>
      <c r="P69" s="527"/>
      <c r="Q69" s="527"/>
      <c r="R69" s="527"/>
      <c r="S69" s="527"/>
      <c r="T69" s="527"/>
      <c r="U69" s="527"/>
      <c r="V69" s="527"/>
      <c r="W69" s="527"/>
      <c r="X69" s="527"/>
      <c r="Y69" s="527"/>
      <c r="Z69" s="527"/>
      <c r="AA69" s="527"/>
      <c r="AB69" s="527"/>
      <c r="AC69" s="527"/>
      <c r="AD69" s="527"/>
      <c r="AE69" s="528"/>
      <c r="AF69" s="151"/>
      <c r="AG69" s="151"/>
      <c r="AH69" s="148"/>
      <c r="AI69" s="148"/>
      <c r="AJ69" s="148"/>
      <c r="AK69" s="148"/>
      <c r="AL69" s="148"/>
      <c r="AM69" s="148"/>
      <c r="AQ69" s="126"/>
      <c r="AR69" s="126"/>
      <c r="AS69" s="126"/>
      <c r="AT69" s="126"/>
      <c r="BA69" s="113"/>
      <c r="BS69" s="5"/>
      <c r="BT69" s="5"/>
      <c r="BU69" s="6"/>
    </row>
    <row r="70" spans="2:73" ht="15.75">
      <c r="B70" s="153">
        <f t="shared" si="33"/>
        <v>43362</v>
      </c>
      <c r="C70" s="526" t="s">
        <v>285</v>
      </c>
      <c r="D70" s="527"/>
      <c r="E70" s="527"/>
      <c r="F70" s="527"/>
      <c r="G70" s="527"/>
      <c r="H70" s="527"/>
      <c r="I70" s="527"/>
      <c r="J70" s="527"/>
      <c r="K70" s="527"/>
      <c r="L70" s="527"/>
      <c r="M70" s="527"/>
      <c r="N70" s="527"/>
      <c r="O70" s="527"/>
      <c r="P70" s="527"/>
      <c r="Q70" s="527"/>
      <c r="R70" s="527"/>
      <c r="S70" s="527"/>
      <c r="T70" s="527"/>
      <c r="U70" s="527"/>
      <c r="V70" s="527"/>
      <c r="W70" s="527"/>
      <c r="X70" s="527"/>
      <c r="Y70" s="527"/>
      <c r="Z70" s="527"/>
      <c r="AA70" s="527"/>
      <c r="AB70" s="527"/>
      <c r="AC70" s="527"/>
      <c r="AD70" s="527"/>
      <c r="AE70" s="528"/>
      <c r="AF70" s="151"/>
      <c r="AG70" s="151"/>
      <c r="AH70" s="148"/>
      <c r="AI70" s="148"/>
      <c r="AJ70" s="148"/>
      <c r="AK70" s="148"/>
      <c r="AL70" s="148"/>
      <c r="AM70" s="148"/>
      <c r="AQ70" s="126"/>
      <c r="AR70" s="126"/>
      <c r="AS70" s="126"/>
      <c r="AT70" s="126"/>
      <c r="BA70" s="113"/>
      <c r="BS70" s="5"/>
      <c r="BT70" s="5"/>
      <c r="BU70" s="6"/>
    </row>
    <row r="71" spans="2:73" ht="15.75">
      <c r="B71" s="153">
        <f t="shared" si="33"/>
        <v>43363</v>
      </c>
      <c r="C71" s="526" t="s">
        <v>286</v>
      </c>
      <c r="D71" s="527"/>
      <c r="E71" s="527"/>
      <c r="F71" s="527"/>
      <c r="G71" s="527"/>
      <c r="H71" s="527"/>
      <c r="I71" s="527"/>
      <c r="J71" s="527"/>
      <c r="K71" s="527"/>
      <c r="L71" s="527"/>
      <c r="M71" s="527"/>
      <c r="N71" s="527"/>
      <c r="O71" s="527"/>
      <c r="P71" s="527"/>
      <c r="Q71" s="527"/>
      <c r="R71" s="527"/>
      <c r="S71" s="527"/>
      <c r="T71" s="527"/>
      <c r="U71" s="527"/>
      <c r="V71" s="527"/>
      <c r="W71" s="527"/>
      <c r="X71" s="527"/>
      <c r="Y71" s="527"/>
      <c r="Z71" s="527"/>
      <c r="AA71" s="527"/>
      <c r="AB71" s="527"/>
      <c r="AC71" s="527"/>
      <c r="AD71" s="527"/>
      <c r="AE71" s="528"/>
      <c r="AF71" s="151"/>
      <c r="AG71" s="151"/>
      <c r="AH71" s="148"/>
      <c r="AI71" s="148"/>
      <c r="AJ71" s="148"/>
      <c r="AK71" s="148"/>
      <c r="AL71" s="148"/>
      <c r="AM71" s="148"/>
      <c r="AQ71" s="126"/>
      <c r="AR71" s="126"/>
      <c r="AS71" s="126"/>
      <c r="AT71" s="126"/>
      <c r="BA71" s="113"/>
      <c r="BS71" s="5"/>
      <c r="BT71" s="5"/>
      <c r="BU71" s="6"/>
    </row>
    <row r="72" spans="2:73" ht="15.75">
      <c r="B72" s="153">
        <f t="shared" si="33"/>
        <v>43364</v>
      </c>
      <c r="C72" s="526" t="s">
        <v>285</v>
      </c>
      <c r="D72" s="527"/>
      <c r="E72" s="527"/>
      <c r="F72" s="527"/>
      <c r="G72" s="527"/>
      <c r="H72" s="527"/>
      <c r="I72" s="527"/>
      <c r="J72" s="527"/>
      <c r="K72" s="527"/>
      <c r="L72" s="527"/>
      <c r="M72" s="527"/>
      <c r="N72" s="527"/>
      <c r="O72" s="527"/>
      <c r="P72" s="527"/>
      <c r="Q72" s="527"/>
      <c r="R72" s="527"/>
      <c r="S72" s="527"/>
      <c r="T72" s="527"/>
      <c r="U72" s="527"/>
      <c r="V72" s="527"/>
      <c r="W72" s="527"/>
      <c r="X72" s="527"/>
      <c r="Y72" s="527"/>
      <c r="Z72" s="527"/>
      <c r="AA72" s="527"/>
      <c r="AB72" s="527"/>
      <c r="AC72" s="527"/>
      <c r="AD72" s="527"/>
      <c r="AE72" s="528"/>
      <c r="AF72" s="151"/>
      <c r="AG72" s="151"/>
      <c r="AH72" s="148"/>
      <c r="AI72" s="148"/>
      <c r="AJ72" s="148"/>
      <c r="AK72" s="148"/>
      <c r="AL72" s="148"/>
      <c r="AM72" s="148"/>
      <c r="AQ72" s="126"/>
      <c r="AR72" s="126"/>
      <c r="AS72" s="126"/>
      <c r="AT72" s="126"/>
      <c r="BA72" s="113"/>
      <c r="BS72" s="5"/>
      <c r="BT72" s="5"/>
      <c r="BU72" s="6"/>
    </row>
    <row r="73" spans="2:73" ht="15.75">
      <c r="B73" s="153">
        <f t="shared" si="33"/>
        <v>43365</v>
      </c>
      <c r="C73" s="526" t="s">
        <v>287</v>
      </c>
      <c r="D73" s="527"/>
      <c r="E73" s="527"/>
      <c r="F73" s="527"/>
      <c r="G73" s="527"/>
      <c r="H73" s="527"/>
      <c r="I73" s="527"/>
      <c r="J73" s="527"/>
      <c r="K73" s="527"/>
      <c r="L73" s="527"/>
      <c r="M73" s="527"/>
      <c r="N73" s="527"/>
      <c r="O73" s="527"/>
      <c r="P73" s="527"/>
      <c r="Q73" s="527"/>
      <c r="R73" s="527"/>
      <c r="S73" s="527"/>
      <c r="T73" s="527"/>
      <c r="U73" s="527"/>
      <c r="V73" s="527"/>
      <c r="W73" s="527"/>
      <c r="X73" s="527"/>
      <c r="Y73" s="527"/>
      <c r="Z73" s="527"/>
      <c r="AA73" s="527"/>
      <c r="AB73" s="527"/>
      <c r="AC73" s="527"/>
      <c r="AD73" s="527"/>
      <c r="AE73" s="528"/>
      <c r="AF73" s="151"/>
      <c r="AG73" s="151"/>
      <c r="AH73" s="148"/>
      <c r="AI73" s="148"/>
      <c r="AJ73" s="148"/>
      <c r="AK73" s="148"/>
      <c r="AL73" s="148"/>
      <c r="AM73" s="148"/>
      <c r="AQ73" s="126"/>
      <c r="AR73" s="126"/>
      <c r="AS73" s="126"/>
      <c r="AT73" s="126"/>
      <c r="BA73" s="113"/>
      <c r="BS73" s="5"/>
      <c r="BT73" s="5"/>
      <c r="BU73" s="6"/>
    </row>
    <row r="74" spans="2:73" ht="15.75">
      <c r="B74" s="153">
        <f t="shared" si="33"/>
        <v>43366</v>
      </c>
      <c r="C74" s="526" t="s">
        <v>289</v>
      </c>
      <c r="D74" s="527"/>
      <c r="E74" s="527"/>
      <c r="F74" s="527"/>
      <c r="G74" s="527"/>
      <c r="H74" s="527"/>
      <c r="I74" s="527"/>
      <c r="J74" s="527"/>
      <c r="K74" s="527"/>
      <c r="L74" s="527"/>
      <c r="M74" s="527"/>
      <c r="N74" s="527"/>
      <c r="O74" s="527"/>
      <c r="P74" s="527"/>
      <c r="Q74" s="527"/>
      <c r="R74" s="527"/>
      <c r="S74" s="527"/>
      <c r="T74" s="527"/>
      <c r="U74" s="527"/>
      <c r="V74" s="527"/>
      <c r="W74" s="527"/>
      <c r="X74" s="527"/>
      <c r="Y74" s="527"/>
      <c r="Z74" s="527"/>
      <c r="AA74" s="527"/>
      <c r="AB74" s="527"/>
      <c r="AC74" s="527"/>
      <c r="AD74" s="527"/>
      <c r="AE74" s="528"/>
      <c r="AF74" s="151"/>
      <c r="AG74" s="151"/>
      <c r="AH74" s="148"/>
      <c r="AI74" s="148"/>
      <c r="AJ74" s="148"/>
      <c r="AK74" s="148"/>
      <c r="AL74" s="148"/>
      <c r="AM74" s="148"/>
      <c r="AQ74" s="126"/>
      <c r="AR74" s="126"/>
      <c r="AS74" s="126"/>
      <c r="AT74" s="126"/>
      <c r="BA74" s="113"/>
      <c r="BS74" s="5"/>
      <c r="BT74" s="5"/>
      <c r="BU74" s="6"/>
    </row>
    <row r="75" spans="2:73" ht="15.75">
      <c r="B75" s="153">
        <f t="shared" si="33"/>
        <v>43367</v>
      </c>
      <c r="C75" s="526" t="s">
        <v>290</v>
      </c>
      <c r="D75" s="527"/>
      <c r="E75" s="527"/>
      <c r="F75" s="527"/>
      <c r="G75" s="527"/>
      <c r="H75" s="527"/>
      <c r="I75" s="527"/>
      <c r="J75" s="527"/>
      <c r="K75" s="527"/>
      <c r="L75" s="527"/>
      <c r="M75" s="527"/>
      <c r="N75" s="527"/>
      <c r="O75" s="527"/>
      <c r="P75" s="527"/>
      <c r="Q75" s="527"/>
      <c r="R75" s="527"/>
      <c r="S75" s="527"/>
      <c r="T75" s="527"/>
      <c r="U75" s="527"/>
      <c r="V75" s="527"/>
      <c r="W75" s="527"/>
      <c r="X75" s="527"/>
      <c r="Y75" s="527"/>
      <c r="Z75" s="527"/>
      <c r="AA75" s="527"/>
      <c r="AB75" s="527"/>
      <c r="AC75" s="527"/>
      <c r="AD75" s="527"/>
      <c r="AE75" s="528"/>
      <c r="AF75" s="151"/>
      <c r="AG75" s="151"/>
      <c r="AH75" s="148"/>
      <c r="AI75" s="148"/>
      <c r="AJ75" s="148"/>
      <c r="AK75" s="148"/>
      <c r="AL75" s="148"/>
      <c r="AM75" s="148"/>
      <c r="AQ75" s="126"/>
      <c r="AR75" s="126"/>
      <c r="AS75" s="126"/>
      <c r="AT75" s="126"/>
      <c r="BA75" s="113"/>
      <c r="BS75" s="5"/>
      <c r="BT75" s="5"/>
      <c r="BU75" s="6"/>
    </row>
    <row r="76" spans="2:73" ht="15.75">
      <c r="B76" s="153">
        <f t="shared" si="33"/>
        <v>43368</v>
      </c>
      <c r="C76" s="526" t="s">
        <v>291</v>
      </c>
      <c r="D76" s="527"/>
      <c r="E76" s="527"/>
      <c r="F76" s="527"/>
      <c r="G76" s="527"/>
      <c r="H76" s="527"/>
      <c r="I76" s="527"/>
      <c r="J76" s="527"/>
      <c r="K76" s="527"/>
      <c r="L76" s="527"/>
      <c r="M76" s="527"/>
      <c r="N76" s="527"/>
      <c r="O76" s="527"/>
      <c r="P76" s="527"/>
      <c r="Q76" s="527"/>
      <c r="R76" s="527"/>
      <c r="S76" s="527"/>
      <c r="T76" s="527"/>
      <c r="U76" s="527"/>
      <c r="V76" s="527"/>
      <c r="W76" s="527"/>
      <c r="X76" s="527"/>
      <c r="Y76" s="527"/>
      <c r="Z76" s="527"/>
      <c r="AA76" s="527"/>
      <c r="AB76" s="527"/>
      <c r="AC76" s="527"/>
      <c r="AD76" s="527"/>
      <c r="AE76" s="528"/>
      <c r="AF76" s="151"/>
      <c r="AG76" s="151"/>
      <c r="AH76" s="148"/>
      <c r="AI76" s="148"/>
      <c r="AJ76" s="148"/>
      <c r="AK76" s="148"/>
      <c r="AL76" s="148"/>
      <c r="AM76" s="148"/>
      <c r="AQ76" s="126"/>
      <c r="AR76" s="126"/>
      <c r="AS76" s="126"/>
      <c r="AT76" s="126"/>
      <c r="BA76" s="113"/>
      <c r="BS76" s="5"/>
      <c r="BT76" s="5"/>
      <c r="BU76" s="6"/>
    </row>
    <row r="77" spans="2:73" ht="15.75">
      <c r="B77" s="153">
        <f t="shared" si="33"/>
        <v>43369</v>
      </c>
      <c r="C77" s="526" t="s">
        <v>293</v>
      </c>
      <c r="D77" s="527"/>
      <c r="E77" s="527"/>
      <c r="F77" s="527"/>
      <c r="G77" s="527"/>
      <c r="H77" s="527"/>
      <c r="I77" s="527"/>
      <c r="J77" s="527"/>
      <c r="K77" s="527"/>
      <c r="L77" s="527"/>
      <c r="M77" s="527"/>
      <c r="N77" s="527"/>
      <c r="O77" s="527"/>
      <c r="P77" s="527"/>
      <c r="Q77" s="527"/>
      <c r="R77" s="527"/>
      <c r="S77" s="527"/>
      <c r="T77" s="527"/>
      <c r="U77" s="527"/>
      <c r="V77" s="527"/>
      <c r="W77" s="527"/>
      <c r="X77" s="527"/>
      <c r="Y77" s="527"/>
      <c r="Z77" s="527"/>
      <c r="AA77" s="527"/>
      <c r="AB77" s="527"/>
      <c r="AC77" s="527"/>
      <c r="AD77" s="527"/>
      <c r="AE77" s="528"/>
      <c r="AF77" s="151"/>
      <c r="AG77" s="151"/>
      <c r="AH77" s="148"/>
      <c r="AI77" s="148"/>
      <c r="AJ77" s="148"/>
      <c r="AK77" s="148"/>
      <c r="AL77" s="148"/>
      <c r="AM77" s="148"/>
      <c r="AQ77" s="126"/>
      <c r="AR77" s="126"/>
      <c r="AS77" s="126"/>
      <c r="AT77" s="126"/>
      <c r="BA77" s="113"/>
      <c r="BS77" s="5"/>
      <c r="BT77" s="5"/>
      <c r="BU77" s="6"/>
    </row>
    <row r="78" spans="2:73" ht="15.75">
      <c r="B78" s="153">
        <f t="shared" si="33"/>
        <v>43370</v>
      </c>
      <c r="C78" s="526" t="s">
        <v>294</v>
      </c>
      <c r="D78" s="527"/>
      <c r="E78" s="527"/>
      <c r="F78" s="527"/>
      <c r="G78" s="527"/>
      <c r="H78" s="527"/>
      <c r="I78" s="527"/>
      <c r="J78" s="527"/>
      <c r="K78" s="527"/>
      <c r="L78" s="527"/>
      <c r="M78" s="527"/>
      <c r="N78" s="527"/>
      <c r="O78" s="527"/>
      <c r="P78" s="527"/>
      <c r="Q78" s="527"/>
      <c r="R78" s="527"/>
      <c r="S78" s="527"/>
      <c r="T78" s="527"/>
      <c r="U78" s="527"/>
      <c r="V78" s="527"/>
      <c r="W78" s="527"/>
      <c r="X78" s="527"/>
      <c r="Y78" s="527"/>
      <c r="Z78" s="527"/>
      <c r="AA78" s="527"/>
      <c r="AB78" s="527"/>
      <c r="AC78" s="527"/>
      <c r="AD78" s="527"/>
      <c r="AE78" s="528"/>
      <c r="AF78" s="151"/>
      <c r="AG78" s="151"/>
      <c r="AH78" s="148"/>
      <c r="AI78" s="148"/>
      <c r="AJ78" s="148"/>
      <c r="AK78" s="148"/>
      <c r="AL78" s="148"/>
      <c r="AM78" s="148"/>
      <c r="AQ78" s="126"/>
      <c r="AR78" s="126"/>
      <c r="AS78" s="126"/>
      <c r="AT78" s="126"/>
      <c r="BA78" s="113"/>
      <c r="BS78" s="5"/>
      <c r="BT78" s="5"/>
      <c r="BU78" s="6"/>
    </row>
    <row r="79" spans="2:73" ht="15.75">
      <c r="B79" s="153">
        <f t="shared" si="33"/>
        <v>43371</v>
      </c>
      <c r="C79" s="526" t="s">
        <v>295</v>
      </c>
      <c r="D79" s="527"/>
      <c r="E79" s="527"/>
      <c r="F79" s="527"/>
      <c r="G79" s="527"/>
      <c r="H79" s="527"/>
      <c r="I79" s="527"/>
      <c r="J79" s="527"/>
      <c r="K79" s="527"/>
      <c r="L79" s="527"/>
      <c r="M79" s="527"/>
      <c r="N79" s="527"/>
      <c r="O79" s="527"/>
      <c r="P79" s="527"/>
      <c r="Q79" s="527"/>
      <c r="R79" s="527"/>
      <c r="S79" s="527"/>
      <c r="T79" s="527"/>
      <c r="U79" s="527"/>
      <c r="V79" s="527"/>
      <c r="W79" s="527"/>
      <c r="X79" s="527"/>
      <c r="Y79" s="527"/>
      <c r="Z79" s="527"/>
      <c r="AA79" s="527"/>
      <c r="AB79" s="527"/>
      <c r="AC79" s="527"/>
      <c r="AD79" s="527"/>
      <c r="AE79" s="528"/>
      <c r="AF79" s="151"/>
      <c r="AG79" s="151"/>
      <c r="AH79" s="148"/>
      <c r="AI79" s="148"/>
      <c r="AJ79" s="148"/>
      <c r="AK79" s="148"/>
      <c r="AL79" s="148"/>
      <c r="AM79" s="148"/>
      <c r="AQ79" s="126"/>
      <c r="AR79" s="126"/>
      <c r="AS79" s="126"/>
      <c r="AT79" s="126"/>
      <c r="BA79" s="113"/>
      <c r="BS79" s="5"/>
      <c r="BT79" s="5"/>
      <c r="BU79" s="6"/>
    </row>
    <row r="80" spans="2:73" ht="15.75">
      <c r="B80" s="153">
        <f t="shared" si="33"/>
        <v>43372</v>
      </c>
      <c r="C80" s="526" t="s">
        <v>296</v>
      </c>
      <c r="D80" s="527"/>
      <c r="E80" s="527"/>
      <c r="F80" s="527"/>
      <c r="G80" s="527"/>
      <c r="H80" s="527"/>
      <c r="I80" s="527"/>
      <c r="J80" s="527"/>
      <c r="K80" s="527"/>
      <c r="L80" s="527"/>
      <c r="M80" s="527"/>
      <c r="N80" s="527"/>
      <c r="O80" s="527"/>
      <c r="P80" s="527"/>
      <c r="Q80" s="527"/>
      <c r="R80" s="527"/>
      <c r="S80" s="527"/>
      <c r="T80" s="527"/>
      <c r="U80" s="527"/>
      <c r="V80" s="527"/>
      <c r="W80" s="527"/>
      <c r="X80" s="527"/>
      <c r="Y80" s="527"/>
      <c r="Z80" s="527"/>
      <c r="AA80" s="527"/>
      <c r="AB80" s="527"/>
      <c r="AC80" s="527"/>
      <c r="AD80" s="527"/>
      <c r="AE80" s="528"/>
    </row>
    <row r="81" spans="2:31" ht="15.75">
      <c r="B81" s="153">
        <f t="shared" si="33"/>
        <v>43373</v>
      </c>
      <c r="C81" s="526" t="s">
        <v>296</v>
      </c>
      <c r="D81" s="527"/>
      <c r="E81" s="527"/>
      <c r="F81" s="527"/>
      <c r="G81" s="527"/>
      <c r="H81" s="527"/>
      <c r="I81" s="527"/>
      <c r="J81" s="527"/>
      <c r="K81" s="527"/>
      <c r="L81" s="527"/>
      <c r="M81" s="527"/>
      <c r="N81" s="527"/>
      <c r="O81" s="527"/>
      <c r="P81" s="527"/>
      <c r="Q81" s="527"/>
      <c r="R81" s="527"/>
      <c r="S81" s="527"/>
      <c r="T81" s="527"/>
      <c r="U81" s="527"/>
      <c r="V81" s="527"/>
      <c r="W81" s="527"/>
      <c r="X81" s="527"/>
      <c r="Y81" s="527"/>
      <c r="Z81" s="527"/>
      <c r="AA81" s="527"/>
      <c r="AB81" s="527"/>
      <c r="AC81" s="527"/>
      <c r="AD81" s="527"/>
      <c r="AE81" s="528"/>
    </row>
    <row r="94" spans="2:31">
      <c r="Q94">
        <f>53/60</f>
        <v>0.8833333333333333</v>
      </c>
    </row>
    <row r="95" spans="2:31">
      <c r="Q95">
        <f>6/60</f>
        <v>0.1</v>
      </c>
    </row>
    <row r="98" spans="19:19">
      <c r="S98">
        <f>6/60</f>
        <v>0.1</v>
      </c>
    </row>
  </sheetData>
  <mergeCells count="115">
    <mergeCell ref="C76:AE76"/>
    <mergeCell ref="C77:AE77"/>
    <mergeCell ref="C78:AE78"/>
    <mergeCell ref="C79:AE79"/>
    <mergeCell ref="C80:AE80"/>
    <mergeCell ref="C81:AE81"/>
    <mergeCell ref="C70:AE70"/>
    <mergeCell ref="C71:AE71"/>
    <mergeCell ref="C72:AE72"/>
    <mergeCell ref="C73:AE73"/>
    <mergeCell ref="C74:AE74"/>
    <mergeCell ref="C75:AE75"/>
    <mergeCell ref="C64:AE64"/>
    <mergeCell ref="C65:AE65"/>
    <mergeCell ref="C66:AE66"/>
    <mergeCell ref="C67:AE67"/>
    <mergeCell ref="C68:AE68"/>
    <mergeCell ref="C69:AE69"/>
    <mergeCell ref="C58:AE58"/>
    <mergeCell ref="C59:AE59"/>
    <mergeCell ref="C60:AE60"/>
    <mergeCell ref="C61:AE61"/>
    <mergeCell ref="C62:AE62"/>
    <mergeCell ref="C63:AE63"/>
    <mergeCell ref="C52:AE52"/>
    <mergeCell ref="C53:AE53"/>
    <mergeCell ref="C54:AE54"/>
    <mergeCell ref="C55:AE55"/>
    <mergeCell ref="C56:AE56"/>
    <mergeCell ref="C57:AE57"/>
    <mergeCell ref="H43:I43"/>
    <mergeCell ref="J43:K43"/>
    <mergeCell ref="L43:M43"/>
    <mergeCell ref="N43:O43"/>
    <mergeCell ref="P43:Q43"/>
    <mergeCell ref="C51:AE51"/>
    <mergeCell ref="A5:A11"/>
    <mergeCell ref="A12:A18"/>
    <mergeCell ref="A19:A25"/>
    <mergeCell ref="A26:A32"/>
    <mergeCell ref="A33:A39"/>
    <mergeCell ref="F43:G43"/>
    <mergeCell ref="CA2:CA4"/>
    <mergeCell ref="CC2:CD2"/>
    <mergeCell ref="CE2:CF2"/>
    <mergeCell ref="H3:I3"/>
    <mergeCell ref="J3:K3"/>
    <mergeCell ref="L3:M3"/>
    <mergeCell ref="N3:O3"/>
    <mergeCell ref="BH3:BH4"/>
    <mergeCell ref="BI3:BI4"/>
    <mergeCell ref="BK3:BK4"/>
    <mergeCell ref="BR2:BR4"/>
    <mergeCell ref="BS2:BS4"/>
    <mergeCell ref="BT2:BT4"/>
    <mergeCell ref="BW2:BW4"/>
    <mergeCell ref="BX2:BX4"/>
    <mergeCell ref="BZ2:BZ4"/>
    <mergeCell ref="BV3:BV4"/>
    <mergeCell ref="BE2:BE4"/>
    <mergeCell ref="BF2:BF4"/>
    <mergeCell ref="BG2:BG4"/>
    <mergeCell ref="BL2:BM2"/>
    <mergeCell ref="BP2:BP4"/>
    <mergeCell ref="BQ2:BQ4"/>
    <mergeCell ref="BL3:BL4"/>
    <mergeCell ref="BM3:BM4"/>
    <mergeCell ref="BN3:BN4"/>
    <mergeCell ref="BO3:BO4"/>
    <mergeCell ref="AX2:AX4"/>
    <mergeCell ref="AY2:AY4"/>
    <mergeCell ref="AZ2:AZ4"/>
    <mergeCell ref="BB2:BB4"/>
    <mergeCell ref="BC2:BC4"/>
    <mergeCell ref="BD2:BD4"/>
    <mergeCell ref="AQ2:AQ4"/>
    <mergeCell ref="AR2:AR4"/>
    <mergeCell ref="AT2:AT4"/>
    <mergeCell ref="AU2:AU4"/>
    <mergeCell ref="AV2:AV4"/>
    <mergeCell ref="AW2:AW4"/>
    <mergeCell ref="AK2:AK4"/>
    <mergeCell ref="AL2:AL4"/>
    <mergeCell ref="AM2:AM4"/>
    <mergeCell ref="AN2:AN4"/>
    <mergeCell ref="AO2:AO4"/>
    <mergeCell ref="AP2:AP4"/>
    <mergeCell ref="AE2:AE4"/>
    <mergeCell ref="AF2:AF4"/>
    <mergeCell ref="AG2:AG4"/>
    <mergeCell ref="AH2:AH4"/>
    <mergeCell ref="AI2:AI4"/>
    <mergeCell ref="AJ2:AJ4"/>
    <mergeCell ref="B1:AG1"/>
    <mergeCell ref="B2:B4"/>
    <mergeCell ref="C2:C4"/>
    <mergeCell ref="D2:D4"/>
    <mergeCell ref="E2:E4"/>
    <mergeCell ref="F2:G3"/>
    <mergeCell ref="H2:K2"/>
    <mergeCell ref="L2:O2"/>
    <mergeCell ref="P2:Q3"/>
    <mergeCell ref="R2:R4"/>
    <mergeCell ref="Y2:Y4"/>
    <mergeCell ref="Z2:Z4"/>
    <mergeCell ref="AA2:AA4"/>
    <mergeCell ref="AB2:AB4"/>
    <mergeCell ref="AC2:AC4"/>
    <mergeCell ref="AD2:AD4"/>
    <mergeCell ref="S2:S4"/>
    <mergeCell ref="T2:T4"/>
    <mergeCell ref="U2:U4"/>
    <mergeCell ref="V2:V4"/>
    <mergeCell ref="W2:W4"/>
    <mergeCell ref="X2:X4"/>
  </mergeCells>
  <pageMargins left="0.7" right="0.7" top="0.75" bottom="0.75" header="0.3" footer="0.3"/>
  <pageSetup paperSize="9" orientation="portrait" r:id="rId1"/>
  <ignoredErrors>
    <ignoredError sqref="AP5:AP30 AP31:AP39 AM5:AM39" unlockedFormula="1"/>
    <ignoredError sqref="AR27" formula="1"/>
    <ignoredError sqref="BP40:BT40 BJ40:BO40 BW40:CF40 BF40:BI40 AT40:BD40 AP40"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Jan</vt:lpstr>
      <vt:lpstr>Feb</vt:lpstr>
      <vt:lpstr>March </vt:lpstr>
      <vt:lpstr>April</vt:lpstr>
      <vt:lpstr>May</vt:lpstr>
      <vt:lpstr>June</vt:lpstr>
      <vt:lpstr>July</vt:lpstr>
      <vt:lpstr>Aug</vt:lpstr>
      <vt:lpstr>Sept</vt:lpstr>
      <vt:lpstr>Oct</vt:lpstr>
      <vt:lpstr>Nov</vt:lpstr>
      <vt:lpstr>Dec</vt:lpstr>
      <vt:lpstr>Nov!Print_Area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ops.e</dc:creator>
  <cp:lastModifiedBy>ops.e</cp:lastModifiedBy>
  <dcterms:created xsi:type="dcterms:W3CDTF">2017-08-11T08:57:03Z</dcterms:created>
  <dcterms:modified xsi:type="dcterms:W3CDTF">2019-04-14T20:43:15Z</dcterms:modified>
</cp:coreProperties>
</file>