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\Downloads\"/>
    </mc:Choice>
  </mc:AlternateContent>
  <bookViews>
    <workbookView xWindow="-105" yWindow="-105" windowWidth="19425" windowHeight="10425" tabRatio="605" firstSheet="5" activeTab="5"/>
  </bookViews>
  <sheets>
    <sheet name="Overview" sheetId="16" state="hidden" r:id="rId1"/>
    <sheet name="ID" sheetId="14" state="hidden" r:id="rId2"/>
    <sheet name="MY" sheetId="12" state="hidden" r:id="rId3"/>
    <sheet name="SG" sheetId="11" state="hidden" r:id="rId4"/>
    <sheet name="TH" sheetId="15" state="hidden" r:id="rId5"/>
    <sheet name="VN" sheetId="13" r:id="rId6"/>
    <sheet name="AU" sheetId="17" state="hidden" r:id="rId7"/>
  </sheets>
  <definedNames>
    <definedName name="_xlnm.Print_Area" localSheetId="6">AU!$A$1:$Z$35</definedName>
    <definedName name="_xlnm.Print_Area" localSheetId="1">ID!$A$1:$Y$134</definedName>
    <definedName name="_xlnm.Print_Area" localSheetId="2">MY!$A$1:$Y$51</definedName>
    <definedName name="_xlnm.Print_Area" localSheetId="0">Overview!$A$1:$W$26</definedName>
    <definedName name="_xlnm.Print_Area" localSheetId="3">SG!$A$1:$Z$131</definedName>
    <definedName name="_xlnm.Print_Area" localSheetId="4">TH!$A$1:$Z$71</definedName>
    <definedName name="_xlnm.Print_Area" localSheetId="5">VN!$A$1:$Z$59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2" i="15" l="1"/>
  <c r="X72" i="15" l="1"/>
  <c r="H61" i="11" l="1"/>
  <c r="C52" i="14"/>
  <c r="Y32" i="17"/>
  <c r="Y33" i="17"/>
  <c r="L32" i="17"/>
  <c r="L33" i="17"/>
  <c r="J32" i="17"/>
  <c r="J33" i="17"/>
  <c r="H32" i="17"/>
  <c r="H33" i="17"/>
  <c r="Y52" i="13"/>
  <c r="Y53" i="13"/>
  <c r="Y54" i="13"/>
  <c r="Y55" i="13"/>
  <c r="Y56" i="13"/>
  <c r="Y57" i="13"/>
  <c r="J52" i="13"/>
  <c r="J53" i="13"/>
  <c r="J54" i="13"/>
  <c r="J55" i="13"/>
  <c r="J56" i="13"/>
  <c r="J57" i="13"/>
  <c r="L52" i="13"/>
  <c r="L53" i="13"/>
  <c r="L54" i="13"/>
  <c r="L55" i="13"/>
  <c r="L56" i="13"/>
  <c r="L57" i="13"/>
  <c r="H52" i="13"/>
  <c r="H53" i="13"/>
  <c r="H54" i="13"/>
  <c r="H55" i="13"/>
  <c r="H56" i="13"/>
  <c r="H57" i="13"/>
  <c r="Y53" i="15" l="1"/>
  <c r="Y54" i="15"/>
  <c r="Y55" i="15"/>
  <c r="L54" i="15"/>
  <c r="J54" i="15"/>
  <c r="H53" i="15"/>
  <c r="H54" i="15"/>
  <c r="H55" i="15"/>
  <c r="H56" i="15"/>
  <c r="H57" i="15"/>
  <c r="Y61" i="11"/>
  <c r="D62" i="11"/>
  <c r="G45" i="12"/>
  <c r="X45" i="12"/>
  <c r="X46" i="12"/>
  <c r="K46" i="12"/>
  <c r="I46" i="12"/>
  <c r="G46" i="12"/>
  <c r="K157" i="14" l="1"/>
  <c r="I157" i="14"/>
  <c r="K156" i="14"/>
  <c r="K158" i="14" s="1"/>
  <c r="I156" i="14"/>
  <c r="B156" i="14"/>
  <c r="V164" i="14"/>
  <c r="U164" i="14"/>
  <c r="T164" i="14"/>
  <c r="S164" i="14"/>
  <c r="R164" i="14"/>
  <c r="Q164" i="14"/>
  <c r="P164" i="14"/>
  <c r="O164" i="14"/>
  <c r="N164" i="14"/>
  <c r="M164" i="14"/>
  <c r="L164" i="14"/>
  <c r="J164" i="14"/>
  <c r="H164" i="14"/>
  <c r="F164" i="14"/>
  <c r="E164" i="14"/>
  <c r="D164" i="14"/>
  <c r="K163" i="14"/>
  <c r="I163" i="14"/>
  <c r="G163" i="14"/>
  <c r="K162" i="14"/>
  <c r="I162" i="14"/>
  <c r="G162" i="14"/>
  <c r="V161" i="14"/>
  <c r="W53" i="14" s="1"/>
  <c r="U161" i="14"/>
  <c r="U53" i="14" s="1"/>
  <c r="T161" i="14"/>
  <c r="T53" i="14" s="1"/>
  <c r="S161" i="14"/>
  <c r="S53" i="14" s="1"/>
  <c r="R161" i="14"/>
  <c r="R53" i="14" s="1"/>
  <c r="Q161" i="14"/>
  <c r="Q53" i="14" s="1"/>
  <c r="P161" i="14"/>
  <c r="P53" i="14" s="1"/>
  <c r="O161" i="14"/>
  <c r="O53" i="14" s="1"/>
  <c r="N161" i="14"/>
  <c r="N53" i="14" s="1"/>
  <c r="M161" i="14"/>
  <c r="M53" i="14" s="1"/>
  <c r="L161" i="14"/>
  <c r="L53" i="14" s="1"/>
  <c r="J161" i="14"/>
  <c r="J53" i="14" s="1"/>
  <c r="H161" i="14"/>
  <c r="H53" i="14" s="1"/>
  <c r="F161" i="14"/>
  <c r="F53" i="14" s="1"/>
  <c r="E161" i="14"/>
  <c r="E53" i="14" s="1"/>
  <c r="D161" i="14"/>
  <c r="D53" i="14" s="1"/>
  <c r="K160" i="14"/>
  <c r="I160" i="14"/>
  <c r="G160" i="14"/>
  <c r="K159" i="14"/>
  <c r="I159" i="14"/>
  <c r="G159" i="14"/>
  <c r="G161" i="14" s="1"/>
  <c r="G53" i="14" s="1"/>
  <c r="V158" i="14"/>
  <c r="W52" i="14" s="1"/>
  <c r="U158" i="14"/>
  <c r="U52" i="14" s="1"/>
  <c r="T158" i="14"/>
  <c r="T52" i="14" s="1"/>
  <c r="S158" i="14"/>
  <c r="S52" i="14" s="1"/>
  <c r="R158" i="14"/>
  <c r="R52" i="14" s="1"/>
  <c r="Q158" i="14"/>
  <c r="Q52" i="14" s="1"/>
  <c r="P158" i="14"/>
  <c r="P52" i="14" s="1"/>
  <c r="O158" i="14"/>
  <c r="N158" i="14"/>
  <c r="M158" i="14"/>
  <c r="L158" i="14"/>
  <c r="J158" i="14"/>
  <c r="H158" i="14"/>
  <c r="F158" i="14"/>
  <c r="F52" i="14" s="1"/>
  <c r="E158" i="14"/>
  <c r="E52" i="14" s="1"/>
  <c r="D158" i="14"/>
  <c r="D52" i="14" s="1"/>
  <c r="G157" i="14"/>
  <c r="G156" i="14"/>
  <c r="D32" i="17"/>
  <c r="D33" i="17"/>
  <c r="D57" i="13"/>
  <c r="D56" i="13"/>
  <c r="D55" i="13"/>
  <c r="D54" i="13"/>
  <c r="D53" i="13"/>
  <c r="D56" i="15"/>
  <c r="D55" i="15"/>
  <c r="D54" i="15"/>
  <c r="D53" i="15"/>
  <c r="D61" i="11"/>
  <c r="C53" i="14"/>
  <c r="B159" i="14" s="1"/>
  <c r="C54" i="14"/>
  <c r="B162" i="14" s="1"/>
  <c r="G158" i="14" l="1"/>
  <c r="G52" i="14" s="1"/>
  <c r="G164" i="14"/>
  <c r="K164" i="14"/>
  <c r="K161" i="14"/>
  <c r="K53" i="14" s="1"/>
  <c r="I164" i="14"/>
  <c r="I158" i="14"/>
  <c r="I161" i="14"/>
  <c r="I53" i="14" s="1"/>
  <c r="X6" i="12"/>
  <c r="C43" i="12"/>
  <c r="X12" i="12"/>
  <c r="X43" i="12" l="1"/>
  <c r="X44" i="12"/>
  <c r="I43" i="12"/>
  <c r="K43" i="12"/>
  <c r="G43" i="12"/>
  <c r="D16" i="16" l="1"/>
  <c r="F115" i="11"/>
  <c r="M15" i="16" s="1"/>
  <c r="D15" i="16"/>
  <c r="O15" i="16" l="1"/>
  <c r="U15" i="16"/>
  <c r="O130" i="11"/>
  <c r="S16" i="16" s="1"/>
  <c r="M130" i="11"/>
  <c r="H16" i="16" s="1"/>
  <c r="H130" i="11"/>
  <c r="I130" i="11"/>
  <c r="J130" i="11"/>
  <c r="K130" i="11"/>
  <c r="V17" i="11" l="1"/>
  <c r="W17" i="11" s="1"/>
  <c r="C46" i="12" l="1"/>
  <c r="C45" i="12"/>
  <c r="X52" i="15"/>
  <c r="Y52" i="15" s="1"/>
  <c r="H52" i="15"/>
  <c r="H51" i="15"/>
  <c r="X51" i="15"/>
  <c r="Y51" i="15" s="1"/>
  <c r="H50" i="15"/>
  <c r="X50" i="15"/>
  <c r="Y50" i="15" s="1"/>
  <c r="X48" i="15"/>
  <c r="L52" i="15"/>
  <c r="L51" i="15"/>
  <c r="L50" i="15"/>
  <c r="J52" i="15"/>
  <c r="J51" i="15"/>
  <c r="J50" i="15"/>
  <c r="L49" i="15"/>
  <c r="J49" i="15"/>
  <c r="H49" i="15"/>
  <c r="X49" i="15"/>
  <c r="Y49" i="15" s="1"/>
  <c r="H51" i="13"/>
  <c r="J51" i="13"/>
  <c r="L51" i="13"/>
  <c r="X51" i="13"/>
  <c r="Y51" i="13" s="1"/>
  <c r="L50" i="13"/>
  <c r="J50" i="13"/>
  <c r="H50" i="13"/>
  <c r="X50" i="13"/>
  <c r="Y50" i="13" s="1"/>
  <c r="L49" i="13"/>
  <c r="J49" i="13"/>
  <c r="H49" i="13"/>
  <c r="X49" i="13"/>
  <c r="Y49" i="13" s="1"/>
  <c r="H48" i="13"/>
  <c r="Y48" i="13"/>
  <c r="Y47" i="13"/>
  <c r="L47" i="13"/>
  <c r="J47" i="13"/>
  <c r="H47" i="13"/>
  <c r="D52" i="13"/>
  <c r="Y59" i="11" l="1"/>
  <c r="Y60" i="11"/>
  <c r="L60" i="11"/>
  <c r="L59" i="11"/>
  <c r="J60" i="11"/>
  <c r="J59" i="11"/>
  <c r="H59" i="11"/>
  <c r="H60" i="11"/>
  <c r="X42" i="12"/>
  <c r="G44" i="12"/>
  <c r="I44" i="12"/>
  <c r="K44" i="12"/>
  <c r="M51" i="14"/>
  <c r="D51" i="14"/>
  <c r="V155" i="14"/>
  <c r="W51" i="14" s="1"/>
  <c r="U155" i="14"/>
  <c r="U51" i="14" s="1"/>
  <c r="T155" i="14"/>
  <c r="T51" i="14" s="1"/>
  <c r="S155" i="14"/>
  <c r="S51" i="14" s="1"/>
  <c r="R155" i="14"/>
  <c r="R51" i="14" s="1"/>
  <c r="Q155" i="14"/>
  <c r="Q51" i="14" s="1"/>
  <c r="P155" i="14"/>
  <c r="P51" i="14" s="1"/>
  <c r="O155" i="14"/>
  <c r="O51" i="14" s="1"/>
  <c r="N155" i="14"/>
  <c r="N51" i="14" s="1"/>
  <c r="M155" i="14"/>
  <c r="L155" i="14"/>
  <c r="L51" i="14" s="1"/>
  <c r="J155" i="14"/>
  <c r="J51" i="14" s="1"/>
  <c r="H155" i="14"/>
  <c r="H51" i="14" s="1"/>
  <c r="F155" i="14"/>
  <c r="F51" i="14" s="1"/>
  <c r="E155" i="14"/>
  <c r="E51" i="14" s="1"/>
  <c r="D155" i="14"/>
  <c r="K154" i="14"/>
  <c r="I154" i="14"/>
  <c r="G154" i="14"/>
  <c r="K153" i="14"/>
  <c r="I153" i="14"/>
  <c r="G153" i="14"/>
  <c r="V152" i="14"/>
  <c r="W50" i="14" s="1"/>
  <c r="U152" i="14"/>
  <c r="U50" i="14" s="1"/>
  <c r="T152" i="14"/>
  <c r="T50" i="14" s="1"/>
  <c r="S152" i="14"/>
  <c r="S50" i="14" s="1"/>
  <c r="R152" i="14"/>
  <c r="R50" i="14" s="1"/>
  <c r="Q152" i="14"/>
  <c r="Q50" i="14" s="1"/>
  <c r="P152" i="14"/>
  <c r="P50" i="14" s="1"/>
  <c r="O152" i="14"/>
  <c r="N152" i="14"/>
  <c r="M152" i="14"/>
  <c r="L152" i="14"/>
  <c r="J152" i="14"/>
  <c r="H152" i="14"/>
  <c r="F152" i="14"/>
  <c r="F50" i="14" s="1"/>
  <c r="E152" i="14"/>
  <c r="E50" i="14" s="1"/>
  <c r="D152" i="14"/>
  <c r="D50" i="14" s="1"/>
  <c r="K151" i="14"/>
  <c r="I151" i="14"/>
  <c r="G151" i="14"/>
  <c r="K150" i="14"/>
  <c r="I150" i="14"/>
  <c r="I152" i="14" s="1"/>
  <c r="G150" i="14"/>
  <c r="G152" i="14" s="1"/>
  <c r="G50" i="14" s="1"/>
  <c r="V149" i="14"/>
  <c r="W49" i="14" s="1"/>
  <c r="U149" i="14"/>
  <c r="U49" i="14" s="1"/>
  <c r="T149" i="14"/>
  <c r="T49" i="14" s="1"/>
  <c r="S149" i="14"/>
  <c r="S49" i="14" s="1"/>
  <c r="R149" i="14"/>
  <c r="R49" i="14" s="1"/>
  <c r="Q149" i="14"/>
  <c r="Q49" i="14" s="1"/>
  <c r="P149" i="14"/>
  <c r="P49" i="14" s="1"/>
  <c r="O149" i="14"/>
  <c r="O49" i="14" s="1"/>
  <c r="N149" i="14"/>
  <c r="N49" i="14" s="1"/>
  <c r="M149" i="14"/>
  <c r="M49" i="14" s="1"/>
  <c r="L149" i="14"/>
  <c r="L49" i="14" s="1"/>
  <c r="J149" i="14"/>
  <c r="J49" i="14" s="1"/>
  <c r="H149" i="14"/>
  <c r="H49" i="14" s="1"/>
  <c r="F149" i="14"/>
  <c r="F49" i="14" s="1"/>
  <c r="E149" i="14"/>
  <c r="E49" i="14" s="1"/>
  <c r="D149" i="14"/>
  <c r="D49" i="14" s="1"/>
  <c r="K148" i="14"/>
  <c r="I148" i="14"/>
  <c r="G148" i="14"/>
  <c r="K147" i="14"/>
  <c r="I147" i="14"/>
  <c r="G147" i="14"/>
  <c r="D47" i="13"/>
  <c r="D48" i="13"/>
  <c r="D49" i="13"/>
  <c r="D50" i="13"/>
  <c r="D51" i="13"/>
  <c r="G149" i="14" l="1"/>
  <c r="G49" i="14" s="1"/>
  <c r="K152" i="14"/>
  <c r="K149" i="14"/>
  <c r="K49" i="14" s="1"/>
  <c r="G155" i="14"/>
  <c r="G51" i="14" s="1"/>
  <c r="I155" i="14"/>
  <c r="I51" i="14" s="1"/>
  <c r="K155" i="14"/>
  <c r="K51" i="14" s="1"/>
  <c r="I149" i="14"/>
  <c r="I49" i="14" s="1"/>
  <c r="D52" i="15" l="1"/>
  <c r="D51" i="15"/>
  <c r="D50" i="15"/>
  <c r="D49" i="15"/>
  <c r="D60" i="11"/>
  <c r="D59" i="11"/>
  <c r="C44" i="12"/>
  <c r="C51" i="14"/>
  <c r="B153" i="14" s="1"/>
  <c r="C50" i="14"/>
  <c r="B150" i="14" s="1"/>
  <c r="C49" i="14"/>
  <c r="B147" i="14" s="1"/>
  <c r="L31" i="17"/>
  <c r="J31" i="17"/>
  <c r="H31" i="17"/>
  <c r="Y31" i="17" l="1"/>
  <c r="L46" i="13"/>
  <c r="J46" i="13"/>
  <c r="H46" i="13"/>
  <c r="Y47" i="15"/>
  <c r="Y48" i="15"/>
  <c r="H47" i="15"/>
  <c r="H48" i="15"/>
  <c r="D48" i="15"/>
  <c r="D47" i="15"/>
  <c r="Y56" i="11"/>
  <c r="Y57" i="11"/>
  <c r="Y58" i="11"/>
  <c r="L57" i="11"/>
  <c r="L56" i="11"/>
  <c r="J57" i="11"/>
  <c r="J56" i="11"/>
  <c r="H56" i="11"/>
  <c r="H57" i="11"/>
  <c r="H58" i="11"/>
  <c r="D58" i="11"/>
  <c r="K41" i="12"/>
  <c r="I41" i="12"/>
  <c r="G41" i="12"/>
  <c r="X41" i="12"/>
  <c r="G42" i="12"/>
  <c r="I42" i="12"/>
  <c r="K42" i="12"/>
  <c r="S48" i="14"/>
  <c r="V146" i="14"/>
  <c r="W48" i="14" s="1"/>
  <c r="U146" i="14"/>
  <c r="U48" i="14" s="1"/>
  <c r="T146" i="14"/>
  <c r="T48" i="14" s="1"/>
  <c r="S146" i="14"/>
  <c r="R146" i="14"/>
  <c r="R48" i="14" s="1"/>
  <c r="Q146" i="14"/>
  <c r="Q48" i="14" s="1"/>
  <c r="P146" i="14"/>
  <c r="P48" i="14" s="1"/>
  <c r="O146" i="14"/>
  <c r="N146" i="14"/>
  <c r="M146" i="14"/>
  <c r="L146" i="14"/>
  <c r="J146" i="14"/>
  <c r="H146" i="14"/>
  <c r="F146" i="14"/>
  <c r="F48" i="14" s="1"/>
  <c r="E146" i="14"/>
  <c r="E48" i="14" s="1"/>
  <c r="D146" i="14"/>
  <c r="D48" i="14" s="1"/>
  <c r="K145" i="14"/>
  <c r="I145" i="14"/>
  <c r="G145" i="14"/>
  <c r="K144" i="14"/>
  <c r="I144" i="14"/>
  <c r="G144" i="14"/>
  <c r="K142" i="14"/>
  <c r="I142" i="14"/>
  <c r="K141" i="14"/>
  <c r="I141" i="14"/>
  <c r="K146" i="14" l="1"/>
  <c r="I146" i="14"/>
  <c r="G146" i="14"/>
  <c r="G48" i="14" s="1"/>
  <c r="V143" i="14"/>
  <c r="W47" i="14" s="1"/>
  <c r="U143" i="14"/>
  <c r="U47" i="14" s="1"/>
  <c r="T143" i="14"/>
  <c r="T47" i="14" s="1"/>
  <c r="S143" i="14"/>
  <c r="S47" i="14" s="1"/>
  <c r="R143" i="14"/>
  <c r="R47" i="14" s="1"/>
  <c r="Q143" i="14"/>
  <c r="Q47" i="14" s="1"/>
  <c r="P143" i="14"/>
  <c r="P47" i="14" s="1"/>
  <c r="O143" i="14"/>
  <c r="N143" i="14"/>
  <c r="M143" i="14"/>
  <c r="L143" i="14"/>
  <c r="J143" i="14"/>
  <c r="H143" i="14"/>
  <c r="F143" i="14"/>
  <c r="F47" i="14" s="1"/>
  <c r="E143" i="14"/>
  <c r="E47" i="14" s="1"/>
  <c r="D143" i="14"/>
  <c r="D47" i="14" s="1"/>
  <c r="K143" i="14"/>
  <c r="I143" i="14"/>
  <c r="G142" i="14"/>
  <c r="G141" i="14"/>
  <c r="G143" i="14" l="1"/>
  <c r="G47" i="14" s="1"/>
  <c r="D57" i="11" l="1"/>
  <c r="D56" i="11"/>
  <c r="D55" i="11"/>
  <c r="C42" i="12"/>
  <c r="C41" i="12"/>
  <c r="C48" i="14"/>
  <c r="B144" i="14" s="1"/>
  <c r="S20" i="16" l="1"/>
  <c r="D31" i="17"/>
  <c r="Y44" i="13"/>
  <c r="Y45" i="13"/>
  <c r="Y46" i="13"/>
  <c r="L45" i="13"/>
  <c r="L44" i="13"/>
  <c r="J45" i="13"/>
  <c r="J44" i="13"/>
  <c r="H44" i="13"/>
  <c r="H45" i="13"/>
  <c r="Y68" i="15"/>
  <c r="L68" i="15"/>
  <c r="J68" i="15"/>
  <c r="J69" i="15"/>
  <c r="J70" i="15"/>
  <c r="H68" i="15"/>
  <c r="Y46" i="15"/>
  <c r="L46" i="15"/>
  <c r="J46" i="15"/>
  <c r="H46" i="15"/>
  <c r="D46" i="15"/>
  <c r="Y85" i="11"/>
  <c r="Y86" i="11"/>
  <c r="Y87" i="11"/>
  <c r="Y88" i="11"/>
  <c r="Y89" i="11"/>
  <c r="L85" i="11"/>
  <c r="L86" i="11"/>
  <c r="L87" i="11"/>
  <c r="J85" i="11"/>
  <c r="J86" i="11"/>
  <c r="J87" i="11"/>
  <c r="J88" i="11"/>
  <c r="J89" i="11"/>
  <c r="H85" i="11"/>
  <c r="H86" i="11"/>
  <c r="H87" i="11"/>
  <c r="Y55" i="11"/>
  <c r="H55" i="11"/>
  <c r="X39" i="12"/>
  <c r="X40" i="12"/>
  <c r="K39" i="12"/>
  <c r="I39" i="12"/>
  <c r="G39" i="12"/>
  <c r="G40" i="12"/>
  <c r="K132" i="14"/>
  <c r="K133" i="14"/>
  <c r="U140" i="14"/>
  <c r="T140" i="14"/>
  <c r="S140" i="14"/>
  <c r="R140" i="14"/>
  <c r="Q140" i="14"/>
  <c r="P140" i="14"/>
  <c r="O140" i="14"/>
  <c r="N140" i="14"/>
  <c r="M140" i="14"/>
  <c r="L140" i="14"/>
  <c r="J140" i="14"/>
  <c r="H140" i="14"/>
  <c r="F140" i="14"/>
  <c r="E140" i="14"/>
  <c r="D140" i="14"/>
  <c r="V139" i="14"/>
  <c r="K139" i="14"/>
  <c r="I139" i="14"/>
  <c r="G139" i="14"/>
  <c r="V138" i="14"/>
  <c r="V140" i="14" s="1"/>
  <c r="K138" i="14"/>
  <c r="K140" i="14" s="1"/>
  <c r="I138" i="14"/>
  <c r="I140" i="14" s="1"/>
  <c r="G138" i="14"/>
  <c r="V137" i="14"/>
  <c r="W46" i="14" s="1"/>
  <c r="U137" i="14"/>
  <c r="U46" i="14" s="1"/>
  <c r="T137" i="14"/>
  <c r="T46" i="14" s="1"/>
  <c r="S137" i="14"/>
  <c r="S46" i="14" s="1"/>
  <c r="R137" i="14"/>
  <c r="R46" i="14" s="1"/>
  <c r="Q137" i="14"/>
  <c r="Q46" i="14" s="1"/>
  <c r="P137" i="14"/>
  <c r="P46" i="14" s="1"/>
  <c r="O137" i="14"/>
  <c r="O46" i="14" s="1"/>
  <c r="N137" i="14"/>
  <c r="N46" i="14" s="1"/>
  <c r="M137" i="14"/>
  <c r="M46" i="14" s="1"/>
  <c r="L137" i="14"/>
  <c r="L46" i="14" s="1"/>
  <c r="J137" i="14"/>
  <c r="J46" i="14" s="1"/>
  <c r="H137" i="14"/>
  <c r="H46" i="14" s="1"/>
  <c r="F137" i="14"/>
  <c r="F46" i="14" s="1"/>
  <c r="E137" i="14"/>
  <c r="E46" i="14" s="1"/>
  <c r="D137" i="14"/>
  <c r="D46" i="14" s="1"/>
  <c r="K136" i="14"/>
  <c r="I136" i="14"/>
  <c r="G136" i="14"/>
  <c r="K135" i="14"/>
  <c r="K137" i="14" s="1"/>
  <c r="K46" i="14" s="1"/>
  <c r="I135" i="14"/>
  <c r="I137" i="14" s="1"/>
  <c r="I46" i="14" s="1"/>
  <c r="G135" i="14"/>
  <c r="G137" i="14" s="1"/>
  <c r="G46" i="14" s="1"/>
  <c r="D44" i="13"/>
  <c r="D45" i="13"/>
  <c r="D46" i="13"/>
  <c r="D68" i="15"/>
  <c r="D87" i="11"/>
  <c r="D86" i="11"/>
  <c r="D85" i="11"/>
  <c r="C40" i="12"/>
  <c r="C47" i="14"/>
  <c r="B141" i="14" s="1"/>
  <c r="C46" i="14"/>
  <c r="B135" i="14" s="1"/>
  <c r="G140" i="14" l="1"/>
  <c r="B138" i="14"/>
  <c r="G114" i="11"/>
  <c r="G115" i="11" s="1"/>
  <c r="L114" i="11"/>
  <c r="L115" i="11" s="1"/>
  <c r="K115" i="11"/>
  <c r="S15" i="16" s="1"/>
  <c r="I115" i="11"/>
  <c r="H15" i="16" s="1"/>
  <c r="I15" i="16" s="1"/>
  <c r="H115" i="11"/>
  <c r="E115" i="11"/>
  <c r="F15" i="16" s="1"/>
  <c r="J114" i="11"/>
  <c r="J115" i="11" s="1"/>
  <c r="P129" i="11"/>
  <c r="Q129" i="11" s="1"/>
  <c r="N129" i="11"/>
  <c r="G129" i="11"/>
  <c r="P15" i="16" l="1"/>
  <c r="N15" i="16"/>
  <c r="R15" i="16"/>
  <c r="Y17" i="11"/>
  <c r="Z17" i="11" s="1"/>
  <c r="M114" i="11"/>
  <c r="M115" i="11"/>
  <c r="D43" i="13"/>
  <c r="C37" i="12"/>
  <c r="P128" i="11"/>
  <c r="P130" i="11" s="1"/>
  <c r="F130" i="11"/>
  <c r="E130" i="11"/>
  <c r="F16" i="16" s="1"/>
  <c r="G128" i="11"/>
  <c r="G130" i="11" s="1"/>
  <c r="N128" i="11"/>
  <c r="N130" i="11" s="1"/>
  <c r="I16" i="16" l="1"/>
  <c r="V15" i="16"/>
  <c r="J15" i="16"/>
  <c r="Q15" i="16"/>
  <c r="M16" i="16"/>
  <c r="V20" i="11"/>
  <c r="W20" i="11" s="1"/>
  <c r="Y20" i="11"/>
  <c r="Z20" i="11" s="1"/>
  <c r="R16" i="16"/>
  <c r="L130" i="11"/>
  <c r="Q130" i="11"/>
  <c r="T15" i="16"/>
  <c r="Q128" i="11"/>
  <c r="U16" i="16" l="1"/>
  <c r="O16" i="16"/>
  <c r="P16" i="16" s="1"/>
  <c r="J16" i="16"/>
  <c r="V16" i="16"/>
  <c r="T16" i="16"/>
  <c r="N16" i="16"/>
  <c r="Y43" i="13"/>
  <c r="H43" i="13"/>
  <c r="Y67" i="15"/>
  <c r="L67" i="15"/>
  <c r="J67" i="15"/>
  <c r="H67" i="15"/>
  <c r="Y45" i="15"/>
  <c r="H45" i="15"/>
  <c r="V134" i="14"/>
  <c r="W45" i="14" s="1"/>
  <c r="Y82" i="11"/>
  <c r="Y83" i="11"/>
  <c r="Y84" i="11"/>
  <c r="L83" i="11"/>
  <c r="L84" i="11"/>
  <c r="L82" i="11"/>
  <c r="J83" i="11"/>
  <c r="J84" i="11"/>
  <c r="J82" i="11"/>
  <c r="H83" i="11"/>
  <c r="H84" i="11"/>
  <c r="H82" i="11"/>
  <c r="X38" i="12"/>
  <c r="X37" i="12"/>
  <c r="K38" i="12"/>
  <c r="K37" i="12"/>
  <c r="I38" i="12"/>
  <c r="I37" i="12"/>
  <c r="G37" i="12"/>
  <c r="G38" i="12"/>
  <c r="R45" i="14"/>
  <c r="J45" i="14"/>
  <c r="F45" i="14"/>
  <c r="U134" i="14"/>
  <c r="U45" i="14" s="1"/>
  <c r="T134" i="14"/>
  <c r="T45" i="14" s="1"/>
  <c r="S134" i="14"/>
  <c r="S45" i="14" s="1"/>
  <c r="R134" i="14"/>
  <c r="Q134" i="14"/>
  <c r="Q45" i="14" s="1"/>
  <c r="P134" i="14"/>
  <c r="P45" i="14" s="1"/>
  <c r="O134" i="14"/>
  <c r="O45" i="14" s="1"/>
  <c r="N134" i="14"/>
  <c r="N45" i="14" s="1"/>
  <c r="M134" i="14"/>
  <c r="M45" i="14" s="1"/>
  <c r="L134" i="14"/>
  <c r="L45" i="14" s="1"/>
  <c r="J134" i="14"/>
  <c r="H134" i="14"/>
  <c r="H45" i="14" s="1"/>
  <c r="F134" i="14"/>
  <c r="E134" i="14"/>
  <c r="E45" i="14" s="1"/>
  <c r="D134" i="14"/>
  <c r="D45" i="14" s="1"/>
  <c r="K134" i="14"/>
  <c r="K45" i="14" s="1"/>
  <c r="I133" i="14"/>
  <c r="G133" i="14"/>
  <c r="I132" i="14"/>
  <c r="G132" i="14"/>
  <c r="D67" i="15"/>
  <c r="D45" i="15"/>
  <c r="D84" i="11"/>
  <c r="D83" i="11"/>
  <c r="D82" i="11"/>
  <c r="C38" i="12"/>
  <c r="C39" i="12"/>
  <c r="C45" i="14"/>
  <c r="B132" i="14" s="1"/>
  <c r="Q16" i="16" l="1"/>
  <c r="G134" i="14"/>
  <c r="G45" i="14" s="1"/>
  <c r="I134" i="14"/>
  <c r="I45" i="14" s="1"/>
  <c r="V15" i="11" l="1"/>
  <c r="U15" i="11"/>
  <c r="D14" i="16" s="1"/>
  <c r="D123" i="11"/>
  <c r="F123" i="11"/>
  <c r="H120" i="11"/>
  <c r="H121" i="11"/>
  <c r="H122" i="11"/>
  <c r="H119" i="11"/>
  <c r="G119" i="11"/>
  <c r="G120" i="11"/>
  <c r="G121" i="11"/>
  <c r="G122" i="11"/>
  <c r="E123" i="11"/>
  <c r="F110" i="11"/>
  <c r="H109" i="11"/>
  <c r="H110" i="11" s="1"/>
  <c r="J109" i="11"/>
  <c r="K109" i="11" s="1"/>
  <c r="I110" i="11"/>
  <c r="S14" i="16" s="1"/>
  <c r="G110" i="11"/>
  <c r="H14" i="16" s="1"/>
  <c r="E110" i="11"/>
  <c r="F14" i="16" s="1"/>
  <c r="G123" i="11" l="1"/>
  <c r="W15" i="11"/>
  <c r="H123" i="11"/>
  <c r="U14" i="16"/>
  <c r="I14" i="16"/>
  <c r="J110" i="11"/>
  <c r="K110" i="11" l="1"/>
  <c r="R14" i="16"/>
  <c r="J14" i="16" s="1"/>
  <c r="Y15" i="11"/>
  <c r="Z15" i="11" s="1"/>
  <c r="W78" i="11"/>
  <c r="W80" i="11"/>
  <c r="V14" i="16" l="1"/>
  <c r="T14" i="16"/>
  <c r="D7" i="11"/>
  <c r="D53" i="11"/>
  <c r="D54" i="11"/>
  <c r="Y54" i="11"/>
  <c r="H51" i="11"/>
  <c r="H52" i="11"/>
  <c r="H54" i="11"/>
  <c r="V131" i="14"/>
  <c r="W44" i="14" s="1"/>
  <c r="U131" i="14"/>
  <c r="U44" i="14" s="1"/>
  <c r="T131" i="14"/>
  <c r="T44" i="14" s="1"/>
  <c r="S131" i="14"/>
  <c r="S44" i="14" s="1"/>
  <c r="R131" i="14"/>
  <c r="R44" i="14" s="1"/>
  <c r="Q131" i="14"/>
  <c r="P131" i="14"/>
  <c r="P44" i="14" s="1"/>
  <c r="O131" i="14"/>
  <c r="O44" i="14" s="1"/>
  <c r="N131" i="14"/>
  <c r="N44" i="14" s="1"/>
  <c r="M131" i="14"/>
  <c r="M44" i="14" s="1"/>
  <c r="L131" i="14"/>
  <c r="L44" i="14" s="1"/>
  <c r="J131" i="14"/>
  <c r="J44" i="14" s="1"/>
  <c r="H131" i="14"/>
  <c r="H44" i="14" s="1"/>
  <c r="F131" i="14"/>
  <c r="F44" i="14" s="1"/>
  <c r="E131" i="14"/>
  <c r="E44" i="14" s="1"/>
  <c r="D131" i="14"/>
  <c r="D44" i="14" s="1"/>
  <c r="K130" i="14"/>
  <c r="I130" i="14"/>
  <c r="G130" i="14"/>
  <c r="K129" i="14"/>
  <c r="I129" i="14"/>
  <c r="G129" i="14"/>
  <c r="C44" i="14"/>
  <c r="B129" i="14" s="1"/>
  <c r="G131" i="14" l="1"/>
  <c r="G44" i="14" s="1"/>
  <c r="I131" i="14"/>
  <c r="I44" i="14" s="1"/>
  <c r="K131" i="14"/>
  <c r="K44" i="14" s="1"/>
  <c r="D81" i="11"/>
  <c r="D80" i="11"/>
  <c r="D79" i="11"/>
  <c r="D78" i="11"/>
  <c r="D77" i="11"/>
  <c r="D52" i="11"/>
  <c r="D51" i="11"/>
  <c r="Y51" i="11"/>
  <c r="Y52" i="11"/>
  <c r="N95" i="11"/>
  <c r="Y77" i="11"/>
  <c r="Y78" i="11"/>
  <c r="Y79" i="11"/>
  <c r="Y80" i="11"/>
  <c r="Y81" i="11"/>
  <c r="L77" i="11"/>
  <c r="L78" i="11"/>
  <c r="L79" i="11"/>
  <c r="L80" i="11"/>
  <c r="L81" i="11"/>
  <c r="J77" i="11"/>
  <c r="J78" i="11"/>
  <c r="J79" i="11"/>
  <c r="J80" i="11"/>
  <c r="J81" i="11"/>
  <c r="H77" i="11"/>
  <c r="H78" i="11"/>
  <c r="H79" i="11"/>
  <c r="H80" i="11"/>
  <c r="H81" i="11"/>
  <c r="H30" i="17"/>
  <c r="J30" i="17"/>
  <c r="L30" i="17"/>
  <c r="Y30" i="17"/>
  <c r="Y42" i="13"/>
  <c r="L42" i="13"/>
  <c r="J42" i="13"/>
  <c r="H42" i="13"/>
  <c r="Q128" i="14"/>
  <c r="V128" i="14"/>
  <c r="W43" i="14" s="1"/>
  <c r="U128" i="14"/>
  <c r="U43" i="14" s="1"/>
  <c r="T128" i="14"/>
  <c r="T43" i="14" s="1"/>
  <c r="S128" i="14"/>
  <c r="S43" i="14" s="1"/>
  <c r="R128" i="14"/>
  <c r="R43" i="14" s="1"/>
  <c r="P128" i="14"/>
  <c r="P43" i="14" s="1"/>
  <c r="O128" i="14"/>
  <c r="O43" i="14" s="1"/>
  <c r="N128" i="14"/>
  <c r="N43" i="14" s="1"/>
  <c r="M128" i="14"/>
  <c r="M43" i="14" s="1"/>
  <c r="L128" i="14"/>
  <c r="L43" i="14" s="1"/>
  <c r="J128" i="14"/>
  <c r="J43" i="14" s="1"/>
  <c r="H128" i="14"/>
  <c r="H43" i="14" s="1"/>
  <c r="F128" i="14"/>
  <c r="F43" i="14" s="1"/>
  <c r="E128" i="14"/>
  <c r="E43" i="14" s="1"/>
  <c r="D128" i="14"/>
  <c r="D43" i="14" s="1"/>
  <c r="K127" i="14"/>
  <c r="I127" i="14"/>
  <c r="G127" i="14"/>
  <c r="K126" i="14"/>
  <c r="I126" i="14"/>
  <c r="G126" i="14"/>
  <c r="V125" i="14"/>
  <c r="W42" i="14" s="1"/>
  <c r="U125" i="14"/>
  <c r="U42" i="14" s="1"/>
  <c r="T125" i="14"/>
  <c r="T42" i="14" s="1"/>
  <c r="S125" i="14"/>
  <c r="S42" i="14" s="1"/>
  <c r="R125" i="14"/>
  <c r="R42" i="14" s="1"/>
  <c r="Q125" i="14"/>
  <c r="P125" i="14"/>
  <c r="P42" i="14" s="1"/>
  <c r="O125" i="14"/>
  <c r="O42" i="14" s="1"/>
  <c r="N125" i="14"/>
  <c r="N42" i="14" s="1"/>
  <c r="M125" i="14"/>
  <c r="M42" i="14" s="1"/>
  <c r="L125" i="14"/>
  <c r="L42" i="14" s="1"/>
  <c r="J125" i="14"/>
  <c r="J42" i="14" s="1"/>
  <c r="H125" i="14"/>
  <c r="H42" i="14" s="1"/>
  <c r="F125" i="14"/>
  <c r="F42" i="14" s="1"/>
  <c r="E125" i="14"/>
  <c r="E42" i="14" s="1"/>
  <c r="D125" i="14"/>
  <c r="D42" i="14" s="1"/>
  <c r="K124" i="14"/>
  <c r="I124" i="14"/>
  <c r="G124" i="14"/>
  <c r="K123" i="14"/>
  <c r="I123" i="14"/>
  <c r="G123" i="14"/>
  <c r="B120" i="14"/>
  <c r="D30" i="17"/>
  <c r="D42" i="13"/>
  <c r="C43" i="14"/>
  <c r="B126" i="14" s="1"/>
  <c r="C42" i="14"/>
  <c r="B123" i="14" s="1"/>
  <c r="K125" i="14" l="1"/>
  <c r="K42" i="14" s="1"/>
  <c r="G128" i="14"/>
  <c r="G43" i="14" s="1"/>
  <c r="I128" i="14"/>
  <c r="I43" i="14" s="1"/>
  <c r="K128" i="14"/>
  <c r="K43" i="14" s="1"/>
  <c r="G125" i="14"/>
  <c r="G42" i="14" s="1"/>
  <c r="I125" i="14"/>
  <c r="I42" i="14" s="1"/>
  <c r="N102" i="11"/>
  <c r="M102" i="11"/>
  <c r="N96" i="11"/>
  <c r="N97" i="11"/>
  <c r="N98" i="11"/>
  <c r="N99" i="11"/>
  <c r="N100" i="11"/>
  <c r="N101" i="11"/>
  <c r="D41" i="13"/>
  <c r="C33" i="12"/>
  <c r="C34" i="12"/>
  <c r="C35" i="12"/>
  <c r="D95" i="11"/>
  <c r="X102" i="11"/>
  <c r="V102" i="11"/>
  <c r="U102" i="11"/>
  <c r="T102" i="11"/>
  <c r="S102" i="11"/>
  <c r="R102" i="11"/>
  <c r="Q102" i="11"/>
  <c r="P102" i="11"/>
  <c r="O102" i="11"/>
  <c r="K102" i="11"/>
  <c r="I102" i="11"/>
  <c r="G102" i="11"/>
  <c r="F102" i="11"/>
  <c r="E102" i="11"/>
  <c r="W95" i="11"/>
  <c r="L102" i="11"/>
  <c r="J102" i="11"/>
  <c r="H95" i="11"/>
  <c r="H102" i="11" s="1"/>
  <c r="Y76" i="11"/>
  <c r="L76" i="11"/>
  <c r="J76" i="11"/>
  <c r="H76" i="11"/>
  <c r="D50" i="11"/>
  <c r="D49" i="11"/>
  <c r="D48" i="11"/>
  <c r="Y49" i="11"/>
  <c r="Y50" i="11"/>
  <c r="L49" i="11"/>
  <c r="H50" i="11"/>
  <c r="H49" i="11"/>
  <c r="J49" i="11"/>
  <c r="L29" i="17"/>
  <c r="J29" i="17"/>
  <c r="H29" i="17"/>
  <c r="Y29" i="17"/>
  <c r="Y39" i="13"/>
  <c r="Y40" i="13"/>
  <c r="Y41" i="13"/>
  <c r="L41" i="13"/>
  <c r="L40" i="13"/>
  <c r="J41" i="13"/>
  <c r="J40" i="13"/>
  <c r="H39" i="13"/>
  <c r="H40" i="13"/>
  <c r="H41" i="13"/>
  <c r="Y66" i="15"/>
  <c r="L66" i="15"/>
  <c r="J66" i="15"/>
  <c r="H66" i="15"/>
  <c r="J44" i="15"/>
  <c r="L44" i="15"/>
  <c r="H44" i="15"/>
  <c r="X35" i="12"/>
  <c r="X36" i="12"/>
  <c r="X34" i="12"/>
  <c r="K35" i="12"/>
  <c r="I35" i="12"/>
  <c r="G34" i="12"/>
  <c r="G35" i="12"/>
  <c r="G36" i="12"/>
  <c r="Q122" i="14"/>
  <c r="V122" i="14"/>
  <c r="U122" i="14"/>
  <c r="T122" i="14"/>
  <c r="S122" i="14"/>
  <c r="R122" i="14"/>
  <c r="P122" i="14"/>
  <c r="O122" i="14"/>
  <c r="N122" i="14"/>
  <c r="M122" i="14"/>
  <c r="L122" i="14"/>
  <c r="J122" i="14"/>
  <c r="H122" i="14"/>
  <c r="F122" i="14"/>
  <c r="E122" i="14"/>
  <c r="D122" i="14"/>
  <c r="K121" i="14"/>
  <c r="I121" i="14"/>
  <c r="G121" i="14"/>
  <c r="K120" i="14"/>
  <c r="I120" i="14"/>
  <c r="I122" i="14" s="1"/>
  <c r="G120" i="14"/>
  <c r="V119" i="14"/>
  <c r="W40" i="14"/>
  <c r="X40" i="14" s="1"/>
  <c r="U119" i="14"/>
  <c r="U40" i="14" s="1"/>
  <c r="T119" i="14"/>
  <c r="T40" i="14" s="1"/>
  <c r="S119" i="14"/>
  <c r="S40" i="14" s="1"/>
  <c r="R119" i="14"/>
  <c r="R40" i="14"/>
  <c r="P119" i="14"/>
  <c r="P40" i="14" s="1"/>
  <c r="O119" i="14"/>
  <c r="O40" i="14"/>
  <c r="N119" i="14"/>
  <c r="N40" i="14" s="1"/>
  <c r="M119" i="14"/>
  <c r="M40" i="14" s="1"/>
  <c r="L119" i="14"/>
  <c r="L40" i="14" s="1"/>
  <c r="J119" i="14"/>
  <c r="J40" i="14" s="1"/>
  <c r="H119" i="14"/>
  <c r="H40" i="14" s="1"/>
  <c r="F119" i="14"/>
  <c r="F40" i="14" s="1"/>
  <c r="E119" i="14"/>
  <c r="E40" i="14" s="1"/>
  <c r="D119" i="14"/>
  <c r="D40" i="14" s="1"/>
  <c r="K118" i="14"/>
  <c r="K119" i="14" s="1"/>
  <c r="K40" i="14" s="1"/>
  <c r="I118" i="14"/>
  <c r="G118" i="14"/>
  <c r="K117" i="14"/>
  <c r="I117" i="14"/>
  <c r="I119" i="14" s="1"/>
  <c r="I40" i="14" s="1"/>
  <c r="G117" i="14"/>
  <c r="G119" i="14" s="1"/>
  <c r="G40" i="14" s="1"/>
  <c r="D29" i="17"/>
  <c r="D40" i="13"/>
  <c r="D39" i="13"/>
  <c r="D66" i="15"/>
  <c r="D44" i="15"/>
  <c r="C36" i="12"/>
  <c r="C40" i="14"/>
  <c r="B117" i="14" s="1"/>
  <c r="W102" i="11"/>
  <c r="L28" i="17"/>
  <c r="J28" i="17"/>
  <c r="Y28" i="17"/>
  <c r="H28" i="17"/>
  <c r="Z35" i="17"/>
  <c r="W35" i="17"/>
  <c r="T35" i="17"/>
  <c r="U35" i="17"/>
  <c r="V35" i="17"/>
  <c r="H20" i="16" s="1"/>
  <c r="S35" i="17"/>
  <c r="R35" i="17"/>
  <c r="Q35" i="17"/>
  <c r="K35" i="17"/>
  <c r="O20" i="16" s="1"/>
  <c r="I35" i="17"/>
  <c r="M20" i="16" s="1"/>
  <c r="F35" i="17"/>
  <c r="G20" i="16" s="1"/>
  <c r="G35" i="17"/>
  <c r="F20" i="16" s="1"/>
  <c r="E35" i="17"/>
  <c r="K20" i="16" s="1"/>
  <c r="D75" i="11"/>
  <c r="D64" i="15"/>
  <c r="D73" i="11"/>
  <c r="Y74" i="11"/>
  <c r="L74" i="11"/>
  <c r="J74" i="11"/>
  <c r="H74" i="11"/>
  <c r="D74" i="11"/>
  <c r="Y75" i="11"/>
  <c r="L75" i="11"/>
  <c r="J75" i="11"/>
  <c r="H75" i="11"/>
  <c r="Q113" i="14"/>
  <c r="Q38" i="14" s="1"/>
  <c r="Q110" i="14"/>
  <c r="Q37" i="14" s="1"/>
  <c r="V116" i="14"/>
  <c r="W39" i="14" s="1"/>
  <c r="X39" i="14" s="1"/>
  <c r="U116" i="14"/>
  <c r="U39" i="14" s="1"/>
  <c r="T116" i="14"/>
  <c r="T39" i="14" s="1"/>
  <c r="S116" i="14"/>
  <c r="S39" i="14" s="1"/>
  <c r="R116" i="14"/>
  <c r="R39" i="14" s="1"/>
  <c r="P116" i="14"/>
  <c r="P39" i="14" s="1"/>
  <c r="O116" i="14"/>
  <c r="O39" i="14" s="1"/>
  <c r="N116" i="14"/>
  <c r="N39" i="14" s="1"/>
  <c r="M116" i="14"/>
  <c r="M39" i="14" s="1"/>
  <c r="L116" i="14"/>
  <c r="L39" i="14" s="1"/>
  <c r="J116" i="14"/>
  <c r="J39" i="14" s="1"/>
  <c r="H116" i="14"/>
  <c r="H39" i="14" s="1"/>
  <c r="F116" i="14"/>
  <c r="F39" i="14" s="1"/>
  <c r="E116" i="14"/>
  <c r="E39" i="14" s="1"/>
  <c r="D116" i="14"/>
  <c r="D39" i="14" s="1"/>
  <c r="K115" i="14"/>
  <c r="I115" i="14"/>
  <c r="G115" i="14"/>
  <c r="K114" i="14"/>
  <c r="I114" i="14"/>
  <c r="G114" i="14"/>
  <c r="V113" i="14"/>
  <c r="W38" i="14" s="1"/>
  <c r="X38" i="14" s="1"/>
  <c r="U113" i="14"/>
  <c r="U38" i="14" s="1"/>
  <c r="T113" i="14"/>
  <c r="T38" i="14" s="1"/>
  <c r="S113" i="14"/>
  <c r="S38" i="14" s="1"/>
  <c r="R113" i="14"/>
  <c r="R38" i="14" s="1"/>
  <c r="P113" i="14"/>
  <c r="P38" i="14" s="1"/>
  <c r="O113" i="14"/>
  <c r="N113" i="14"/>
  <c r="M113" i="14"/>
  <c r="L113" i="14"/>
  <c r="J113" i="14"/>
  <c r="H113" i="14"/>
  <c r="F113" i="14"/>
  <c r="F38" i="14" s="1"/>
  <c r="E113" i="14"/>
  <c r="E38" i="14" s="1"/>
  <c r="D113" i="14"/>
  <c r="D38" i="14"/>
  <c r="K112" i="14"/>
  <c r="I112" i="14"/>
  <c r="I113" i="14" s="1"/>
  <c r="G112" i="14"/>
  <c r="K111" i="14"/>
  <c r="I111" i="14"/>
  <c r="G111" i="14"/>
  <c r="V110" i="14"/>
  <c r="W37" i="14"/>
  <c r="X37" i="14" s="1"/>
  <c r="U110" i="14"/>
  <c r="U37" i="14" s="1"/>
  <c r="T110" i="14"/>
  <c r="T37" i="14" s="1"/>
  <c r="S110" i="14"/>
  <c r="S37" i="14" s="1"/>
  <c r="R110" i="14"/>
  <c r="R37" i="14" s="1"/>
  <c r="P110" i="14"/>
  <c r="P37" i="14" s="1"/>
  <c r="O110" i="14"/>
  <c r="N110" i="14"/>
  <c r="M110" i="14"/>
  <c r="L110" i="14"/>
  <c r="J110" i="14"/>
  <c r="H110" i="14"/>
  <c r="F110" i="14"/>
  <c r="F37" i="14" s="1"/>
  <c r="E110" i="14"/>
  <c r="E37" i="14" s="1"/>
  <c r="D110" i="14"/>
  <c r="D37" i="14" s="1"/>
  <c r="K109" i="14"/>
  <c r="I109" i="14"/>
  <c r="I110" i="14" s="1"/>
  <c r="G109" i="14"/>
  <c r="K108" i="14"/>
  <c r="I108" i="14"/>
  <c r="G108" i="14"/>
  <c r="G37" i="14" s="1"/>
  <c r="Y65" i="15"/>
  <c r="L65" i="15"/>
  <c r="J65" i="15"/>
  <c r="H65" i="15"/>
  <c r="Y43" i="15"/>
  <c r="Y44" i="15"/>
  <c r="Y57" i="15"/>
  <c r="W58" i="15"/>
  <c r="L43" i="15"/>
  <c r="J43" i="15"/>
  <c r="H43" i="15"/>
  <c r="X33" i="12"/>
  <c r="G33" i="12"/>
  <c r="D43" i="15"/>
  <c r="D65" i="15"/>
  <c r="D76" i="11"/>
  <c r="C39" i="14"/>
  <c r="B114" i="14" s="1"/>
  <c r="C38" i="14"/>
  <c r="B111" i="14" s="1"/>
  <c r="C37" i="14"/>
  <c r="B108" i="14" s="1"/>
  <c r="D7" i="15"/>
  <c r="L73" i="11"/>
  <c r="J73" i="11"/>
  <c r="H73" i="11"/>
  <c r="L38" i="13"/>
  <c r="L37" i="13"/>
  <c r="L36" i="13"/>
  <c r="J38" i="13"/>
  <c r="J37" i="13"/>
  <c r="J36" i="13"/>
  <c r="H36" i="13"/>
  <c r="H37" i="13"/>
  <c r="H38" i="13"/>
  <c r="Y64" i="15"/>
  <c r="Y63" i="15"/>
  <c r="L64" i="15"/>
  <c r="L63" i="15"/>
  <c r="J64" i="15"/>
  <c r="J63" i="15"/>
  <c r="H64" i="15"/>
  <c r="H63" i="15"/>
  <c r="Y41" i="15"/>
  <c r="Y42" i="15"/>
  <c r="L41" i="15"/>
  <c r="J41" i="15"/>
  <c r="H41" i="15"/>
  <c r="H42" i="15"/>
  <c r="L47" i="11"/>
  <c r="J47" i="11"/>
  <c r="H48" i="11"/>
  <c r="H46" i="11"/>
  <c r="H47" i="11"/>
  <c r="G32" i="12"/>
  <c r="Y6" i="12"/>
  <c r="S107" i="14"/>
  <c r="Y36" i="13"/>
  <c r="Y37" i="13"/>
  <c r="Y38" i="13"/>
  <c r="D38" i="13"/>
  <c r="D37" i="13"/>
  <c r="D36" i="13"/>
  <c r="D42" i="15"/>
  <c r="D63" i="15"/>
  <c r="D41" i="15"/>
  <c r="D40" i="15"/>
  <c r="Y46" i="11"/>
  <c r="Y47" i="11"/>
  <c r="Y48" i="11"/>
  <c r="D47" i="11"/>
  <c r="D46" i="11"/>
  <c r="X90" i="11"/>
  <c r="Y73" i="11"/>
  <c r="X32" i="12"/>
  <c r="X9" i="12"/>
  <c r="C32" i="12"/>
  <c r="C31" i="12"/>
  <c r="Q36" i="14"/>
  <c r="V107" i="14"/>
  <c r="W36" i="14" s="1"/>
  <c r="X36" i="14" s="1"/>
  <c r="U107" i="14"/>
  <c r="U36" i="14" s="1"/>
  <c r="T107" i="14"/>
  <c r="T36" i="14" s="1"/>
  <c r="S36" i="14"/>
  <c r="R107" i="14"/>
  <c r="R36" i="14" s="1"/>
  <c r="P107" i="14"/>
  <c r="P36" i="14"/>
  <c r="O107" i="14"/>
  <c r="O36" i="14" s="1"/>
  <c r="N107" i="14"/>
  <c r="N36" i="14" s="1"/>
  <c r="M107" i="14"/>
  <c r="M36" i="14" s="1"/>
  <c r="L107" i="14"/>
  <c r="L36" i="14" s="1"/>
  <c r="J107" i="14"/>
  <c r="J36" i="14" s="1"/>
  <c r="H107" i="14"/>
  <c r="H36" i="14" s="1"/>
  <c r="F107" i="14"/>
  <c r="F36" i="14" s="1"/>
  <c r="E107" i="14"/>
  <c r="E36" i="14" s="1"/>
  <c r="D107" i="14"/>
  <c r="D36" i="14" s="1"/>
  <c r="K106" i="14"/>
  <c r="I106" i="14"/>
  <c r="G106" i="14"/>
  <c r="K105" i="14"/>
  <c r="I105" i="14"/>
  <c r="G105" i="14"/>
  <c r="C36" i="14"/>
  <c r="B105" i="14" s="1"/>
  <c r="Z71" i="15"/>
  <c r="X71" i="15"/>
  <c r="Y13" i="15" s="1"/>
  <c r="W71" i="15"/>
  <c r="X13" i="15" s="1"/>
  <c r="V71" i="15"/>
  <c r="H18" i="16" s="1"/>
  <c r="U71" i="15"/>
  <c r="T71" i="15"/>
  <c r="S71" i="15"/>
  <c r="Q71" i="15"/>
  <c r="P71" i="15"/>
  <c r="O71" i="15"/>
  <c r="N71" i="15"/>
  <c r="M71" i="15"/>
  <c r="K71" i="15"/>
  <c r="O18" i="16" s="1"/>
  <c r="I71" i="15"/>
  <c r="M18" i="16" s="1"/>
  <c r="G71" i="15"/>
  <c r="F18" i="16" s="1"/>
  <c r="F71" i="15"/>
  <c r="G18" i="16" s="1"/>
  <c r="E71" i="15"/>
  <c r="K18" i="16" s="1"/>
  <c r="O13" i="16"/>
  <c r="L13" i="16"/>
  <c r="Z90" i="11"/>
  <c r="W90" i="11"/>
  <c r="X12" i="11" s="1"/>
  <c r="X10" i="11" s="1"/>
  <c r="V90" i="11"/>
  <c r="H13" i="16" s="1"/>
  <c r="U90" i="11"/>
  <c r="T90" i="11"/>
  <c r="S90" i="11"/>
  <c r="R90" i="11"/>
  <c r="Q90" i="11"/>
  <c r="K90" i="11"/>
  <c r="G90" i="11"/>
  <c r="F13" i="16" s="1"/>
  <c r="F90" i="11"/>
  <c r="G13" i="16" s="1"/>
  <c r="E90" i="11"/>
  <c r="K13" i="16" s="1"/>
  <c r="Y72" i="11"/>
  <c r="L72" i="11"/>
  <c r="J72" i="11"/>
  <c r="H72" i="11"/>
  <c r="D72" i="11"/>
  <c r="P90" i="11"/>
  <c r="O90" i="11"/>
  <c r="N90" i="11"/>
  <c r="M90" i="11"/>
  <c r="I90" i="11"/>
  <c r="V12" i="11" s="1"/>
  <c r="E67" i="11"/>
  <c r="K12" i="16" s="1"/>
  <c r="D50" i="12"/>
  <c r="K11" i="16" s="1"/>
  <c r="K31" i="12"/>
  <c r="I31" i="12"/>
  <c r="D7" i="13"/>
  <c r="Y35" i="13"/>
  <c r="H35" i="13"/>
  <c r="Y38" i="15"/>
  <c r="Y39" i="15"/>
  <c r="Y40" i="15"/>
  <c r="L38" i="15"/>
  <c r="J38" i="15"/>
  <c r="H38" i="15"/>
  <c r="H39" i="15"/>
  <c r="H40" i="15"/>
  <c r="D7" i="12"/>
  <c r="X30" i="12"/>
  <c r="X31" i="12"/>
  <c r="K30" i="12"/>
  <c r="I30" i="12"/>
  <c r="G30" i="12"/>
  <c r="G31" i="12"/>
  <c r="D7" i="14"/>
  <c r="O101" i="14"/>
  <c r="O34" i="14" s="1"/>
  <c r="N101" i="14"/>
  <c r="N34" i="14" s="1"/>
  <c r="M101" i="14"/>
  <c r="L101" i="14"/>
  <c r="L34" i="14" s="1"/>
  <c r="J101" i="14"/>
  <c r="J34" i="14" s="1"/>
  <c r="H101" i="14"/>
  <c r="H34" i="14" s="1"/>
  <c r="K100" i="14"/>
  <c r="K99" i="14"/>
  <c r="I100" i="14"/>
  <c r="I99" i="14"/>
  <c r="M34" i="14"/>
  <c r="D35" i="13"/>
  <c r="D39" i="15"/>
  <c r="D38" i="15"/>
  <c r="D45" i="11"/>
  <c r="Y45" i="11"/>
  <c r="H45" i="11"/>
  <c r="Z67" i="11"/>
  <c r="W67" i="11"/>
  <c r="S67" i="11"/>
  <c r="T67" i="11"/>
  <c r="U67" i="11"/>
  <c r="V67" i="11"/>
  <c r="H12" i="16" s="1"/>
  <c r="R67" i="11"/>
  <c r="Q67" i="11"/>
  <c r="K67" i="11"/>
  <c r="O12" i="16" s="1"/>
  <c r="F67" i="11"/>
  <c r="G12" i="16" s="1"/>
  <c r="G67" i="11"/>
  <c r="F12" i="16" s="1"/>
  <c r="F50" i="12"/>
  <c r="F11" i="16" s="1"/>
  <c r="U9" i="12"/>
  <c r="C30" i="12"/>
  <c r="G99" i="14"/>
  <c r="G100" i="14"/>
  <c r="V104" i="14"/>
  <c r="W35" i="14" s="1"/>
  <c r="X35" i="14" s="1"/>
  <c r="U104" i="14"/>
  <c r="U35" i="14" s="1"/>
  <c r="T104" i="14"/>
  <c r="T35" i="14" s="1"/>
  <c r="S104" i="14"/>
  <c r="S35" i="14" s="1"/>
  <c r="R104" i="14"/>
  <c r="R35" i="14" s="1"/>
  <c r="Q35" i="14"/>
  <c r="P104" i="14"/>
  <c r="P35" i="14" s="1"/>
  <c r="O104" i="14"/>
  <c r="O35" i="14" s="1"/>
  <c r="N104" i="14"/>
  <c r="N35" i="14"/>
  <c r="M104" i="14"/>
  <c r="M35" i="14" s="1"/>
  <c r="L104" i="14"/>
  <c r="L35" i="14" s="1"/>
  <c r="J104" i="14"/>
  <c r="J35" i="14" s="1"/>
  <c r="H104" i="14"/>
  <c r="H35" i="14" s="1"/>
  <c r="F104" i="14"/>
  <c r="F35" i="14" s="1"/>
  <c r="E104" i="14"/>
  <c r="E35" i="14" s="1"/>
  <c r="D104" i="14"/>
  <c r="D35" i="14" s="1"/>
  <c r="K103" i="14"/>
  <c r="I103" i="14"/>
  <c r="G103" i="14"/>
  <c r="K102" i="14"/>
  <c r="I102" i="14"/>
  <c r="G102" i="14"/>
  <c r="G104" i="14" s="1"/>
  <c r="G35" i="14" s="1"/>
  <c r="V101" i="14"/>
  <c r="W34" i="14" s="1"/>
  <c r="X34" i="14" s="1"/>
  <c r="U101" i="14"/>
  <c r="U34" i="14" s="1"/>
  <c r="T101" i="14"/>
  <c r="T34" i="14" s="1"/>
  <c r="S101" i="14"/>
  <c r="S34" i="14" s="1"/>
  <c r="R101" i="14"/>
  <c r="R34" i="14" s="1"/>
  <c r="Q34" i="14"/>
  <c r="P101" i="14"/>
  <c r="P34" i="14" s="1"/>
  <c r="F101" i="14"/>
  <c r="F34" i="14" s="1"/>
  <c r="E101" i="14"/>
  <c r="E34" i="14"/>
  <c r="D101" i="14"/>
  <c r="D34" i="14" s="1"/>
  <c r="C35" i="14"/>
  <c r="B102" i="14" s="1"/>
  <c r="C34" i="14"/>
  <c r="B99" i="14" s="1"/>
  <c r="G101" i="14"/>
  <c r="G34" i="14" s="1"/>
  <c r="V12" i="17"/>
  <c r="X12" i="17"/>
  <c r="U12" i="17" s="1"/>
  <c r="Y12" i="17"/>
  <c r="Z12" i="17" s="1"/>
  <c r="V11" i="17"/>
  <c r="X11" i="17"/>
  <c r="U11" i="17" s="1"/>
  <c r="Y27" i="17"/>
  <c r="L27" i="17"/>
  <c r="J27" i="17"/>
  <c r="H27" i="17"/>
  <c r="D26" i="17"/>
  <c r="T11" i="17"/>
  <c r="D27" i="17"/>
  <c r="T12" i="17" s="1"/>
  <c r="T7" i="17"/>
  <c r="Y34" i="13"/>
  <c r="Y31" i="13"/>
  <c r="Y32" i="13"/>
  <c r="Y33" i="13"/>
  <c r="L31" i="13"/>
  <c r="L34" i="13"/>
  <c r="J31" i="13"/>
  <c r="J34" i="13"/>
  <c r="H31" i="13"/>
  <c r="H32" i="13"/>
  <c r="H33" i="13"/>
  <c r="H34" i="13"/>
  <c r="D34" i="13"/>
  <c r="D33" i="13"/>
  <c r="D32" i="13"/>
  <c r="D31" i="13"/>
  <c r="Z58" i="15"/>
  <c r="Y37" i="15"/>
  <c r="Y34" i="15"/>
  <c r="Y35" i="15"/>
  <c r="Y36" i="15"/>
  <c r="H34" i="15"/>
  <c r="H35" i="15"/>
  <c r="H36" i="15"/>
  <c r="H37" i="15"/>
  <c r="D37" i="15"/>
  <c r="D36" i="15"/>
  <c r="D35" i="15"/>
  <c r="D34" i="15"/>
  <c r="L44" i="11"/>
  <c r="J44" i="11"/>
  <c r="Y42" i="11"/>
  <c r="Y44" i="11"/>
  <c r="L42" i="11"/>
  <c r="J42" i="11"/>
  <c r="H44" i="11"/>
  <c r="H42" i="11"/>
  <c r="D44" i="11"/>
  <c r="D42" i="11"/>
  <c r="D43" i="11"/>
  <c r="X27" i="12"/>
  <c r="X28" i="12"/>
  <c r="X29" i="12"/>
  <c r="K28" i="12"/>
  <c r="I28" i="12"/>
  <c r="H50" i="12"/>
  <c r="M11" i="16" s="1"/>
  <c r="G27" i="12"/>
  <c r="G28" i="12"/>
  <c r="G29" i="12"/>
  <c r="C29" i="12"/>
  <c r="C28" i="12"/>
  <c r="V56" i="14"/>
  <c r="O98" i="14"/>
  <c r="O33" i="14" s="1"/>
  <c r="N98" i="14"/>
  <c r="N33" i="14" s="1"/>
  <c r="M98" i="14"/>
  <c r="M33" i="14" s="1"/>
  <c r="L98" i="14"/>
  <c r="L33" i="14" s="1"/>
  <c r="J98" i="14"/>
  <c r="J33" i="14" s="1"/>
  <c r="H98" i="14"/>
  <c r="H33" i="14" s="1"/>
  <c r="K97" i="14"/>
  <c r="I97" i="14"/>
  <c r="I98" i="14" s="1"/>
  <c r="I33" i="14" s="1"/>
  <c r="K96" i="14"/>
  <c r="K98" i="14"/>
  <c r="K33" i="14" s="1"/>
  <c r="I96" i="14"/>
  <c r="H31" i="14"/>
  <c r="I31" i="14"/>
  <c r="J31" i="14"/>
  <c r="K31" i="14"/>
  <c r="L31" i="14"/>
  <c r="M31" i="14"/>
  <c r="N31" i="14"/>
  <c r="O31" i="14"/>
  <c r="H32" i="14"/>
  <c r="I32" i="14"/>
  <c r="J32" i="14"/>
  <c r="K32" i="14"/>
  <c r="L32" i="14"/>
  <c r="M32" i="14"/>
  <c r="N32" i="14"/>
  <c r="O32" i="14"/>
  <c r="V98" i="14"/>
  <c r="W33" i="14" s="1"/>
  <c r="X33" i="14" s="1"/>
  <c r="U98" i="14"/>
  <c r="U33" i="14" s="1"/>
  <c r="T98" i="14"/>
  <c r="T33" i="14" s="1"/>
  <c r="S98" i="14"/>
  <c r="S33" i="14" s="1"/>
  <c r="R98" i="14"/>
  <c r="R33" i="14" s="1"/>
  <c r="P98" i="14"/>
  <c r="P33" i="14" s="1"/>
  <c r="F98" i="14"/>
  <c r="F33" i="14" s="1"/>
  <c r="E98" i="14"/>
  <c r="E33" i="14" s="1"/>
  <c r="D98" i="14"/>
  <c r="D33" i="14" s="1"/>
  <c r="G97" i="14"/>
  <c r="G96" i="14"/>
  <c r="V95" i="14"/>
  <c r="W32" i="14" s="1"/>
  <c r="X32" i="14" s="1"/>
  <c r="U95" i="14"/>
  <c r="U32" i="14" s="1"/>
  <c r="T95" i="14"/>
  <c r="T32" i="14" s="1"/>
  <c r="S95" i="14"/>
  <c r="S32" i="14" s="1"/>
  <c r="R95" i="14"/>
  <c r="R32" i="14" s="1"/>
  <c r="Q95" i="14"/>
  <c r="Q32" i="14" s="1"/>
  <c r="P95" i="14"/>
  <c r="P32" i="14" s="1"/>
  <c r="F95" i="14"/>
  <c r="F32" i="14"/>
  <c r="E95" i="14"/>
  <c r="E32" i="14" s="1"/>
  <c r="D95" i="14"/>
  <c r="D32" i="14" s="1"/>
  <c r="G94" i="14"/>
  <c r="G95" i="14" s="1"/>
  <c r="G32" i="14" s="1"/>
  <c r="G93" i="14"/>
  <c r="V92" i="14"/>
  <c r="W31" i="14" s="1"/>
  <c r="X31" i="14" s="1"/>
  <c r="U92" i="14"/>
  <c r="U31" i="14" s="1"/>
  <c r="T92" i="14"/>
  <c r="T31" i="14" s="1"/>
  <c r="S92" i="14"/>
  <c r="S31" i="14" s="1"/>
  <c r="R92" i="14"/>
  <c r="R31" i="14" s="1"/>
  <c r="Q92" i="14"/>
  <c r="Q31" i="14" s="1"/>
  <c r="P92" i="14"/>
  <c r="P31" i="14" s="1"/>
  <c r="F92" i="14"/>
  <c r="F31" i="14" s="1"/>
  <c r="E92" i="14"/>
  <c r="E31" i="14" s="1"/>
  <c r="D92" i="14"/>
  <c r="D31" i="14" s="1"/>
  <c r="G91" i="14"/>
  <c r="G90" i="14"/>
  <c r="C33" i="14"/>
  <c r="B96" i="14" s="1"/>
  <c r="C32" i="14"/>
  <c r="B93" i="14" s="1"/>
  <c r="C31" i="14"/>
  <c r="B90" i="14" s="1"/>
  <c r="G98" i="14"/>
  <c r="G33" i="14" s="1"/>
  <c r="P20" i="13"/>
  <c r="O20" i="13"/>
  <c r="N20" i="13"/>
  <c r="M20" i="13"/>
  <c r="M59" i="13" s="1"/>
  <c r="P23" i="15"/>
  <c r="O23" i="15"/>
  <c r="O58" i="15" s="1"/>
  <c r="N23" i="15"/>
  <c r="M23" i="15"/>
  <c r="P31" i="11"/>
  <c r="P67" i="11" s="1"/>
  <c r="O31" i="11"/>
  <c r="O67" i="11" s="1"/>
  <c r="N31" i="11"/>
  <c r="N67" i="11" s="1"/>
  <c r="M31" i="11"/>
  <c r="M67" i="11" s="1"/>
  <c r="V50" i="12"/>
  <c r="W50" i="12"/>
  <c r="Y50" i="12"/>
  <c r="K26" i="12"/>
  <c r="I26" i="12"/>
  <c r="G26" i="12"/>
  <c r="Q89" i="14"/>
  <c r="Q30" i="14" s="1"/>
  <c r="R89" i="14"/>
  <c r="R30" i="14" s="1"/>
  <c r="S89" i="14"/>
  <c r="S30" i="14" s="1"/>
  <c r="T89" i="14"/>
  <c r="T30" i="14" s="1"/>
  <c r="U89" i="14"/>
  <c r="Q86" i="14"/>
  <c r="Q29" i="14" s="1"/>
  <c r="R86" i="14"/>
  <c r="S86" i="14"/>
  <c r="S29" i="14" s="1"/>
  <c r="T86" i="14"/>
  <c r="T29" i="14" s="1"/>
  <c r="U86" i="14"/>
  <c r="U29" i="14" s="1"/>
  <c r="L23" i="15"/>
  <c r="C27" i="12"/>
  <c r="C26" i="12"/>
  <c r="Y56" i="14"/>
  <c r="H30" i="14"/>
  <c r="J30" i="14"/>
  <c r="L30" i="14"/>
  <c r="M30" i="14"/>
  <c r="N30" i="14"/>
  <c r="O30" i="14"/>
  <c r="H29" i="14"/>
  <c r="J29" i="14"/>
  <c r="L29" i="14"/>
  <c r="M29" i="14"/>
  <c r="N29" i="14"/>
  <c r="O29" i="14"/>
  <c r="C30" i="14"/>
  <c r="B87" i="14" s="1"/>
  <c r="D22" i="17"/>
  <c r="X26" i="17"/>
  <c r="Y11" i="17" s="1"/>
  <c r="Z11" i="17" s="1"/>
  <c r="P26" i="17"/>
  <c r="P35" i="17" s="1"/>
  <c r="O26" i="17"/>
  <c r="O35" i="17"/>
  <c r="N26" i="17"/>
  <c r="N35" i="17" s="1"/>
  <c r="M26" i="17"/>
  <c r="M35" i="17" s="1"/>
  <c r="L26" i="17"/>
  <c r="H26" i="17"/>
  <c r="J26" i="17"/>
  <c r="D25" i="17"/>
  <c r="T10" i="17" s="1"/>
  <c r="Y7" i="17"/>
  <c r="X7" i="17"/>
  <c r="V7" i="17"/>
  <c r="W7" i="17" s="1"/>
  <c r="Y26" i="17"/>
  <c r="J23" i="17"/>
  <c r="H22" i="17"/>
  <c r="Y22" i="17"/>
  <c r="D23" i="17"/>
  <c r="T8" i="17" s="1"/>
  <c r="H23" i="17"/>
  <c r="L23" i="17"/>
  <c r="Y23" i="17"/>
  <c r="L20" i="13"/>
  <c r="L31" i="11"/>
  <c r="D37" i="11"/>
  <c r="W30" i="13"/>
  <c r="Y30" i="13" s="1"/>
  <c r="L30" i="13"/>
  <c r="J30" i="13"/>
  <c r="H30" i="13"/>
  <c r="D30" i="13"/>
  <c r="E59" i="13"/>
  <c r="K19" i="16" s="1"/>
  <c r="Y32" i="15"/>
  <c r="Y33" i="15"/>
  <c r="H32" i="15"/>
  <c r="H33" i="15"/>
  <c r="D32" i="15"/>
  <c r="D33" i="15"/>
  <c r="D31" i="15"/>
  <c r="I58" i="15"/>
  <c r="O17" i="16" s="1"/>
  <c r="F58" i="15"/>
  <c r="G17" i="16" s="1"/>
  <c r="G58" i="15"/>
  <c r="F17" i="16" s="1"/>
  <c r="E58" i="15"/>
  <c r="K17" i="16" s="1"/>
  <c r="Y41" i="11"/>
  <c r="H40" i="11"/>
  <c r="H41" i="11"/>
  <c r="D41" i="11"/>
  <c r="H28" i="14"/>
  <c r="I28" i="14"/>
  <c r="J28" i="14"/>
  <c r="K28" i="14"/>
  <c r="L28" i="14"/>
  <c r="M28" i="14"/>
  <c r="N28" i="14"/>
  <c r="O28" i="14"/>
  <c r="Q83" i="14"/>
  <c r="Q28" i="14" s="1"/>
  <c r="G81" i="14"/>
  <c r="C29" i="14"/>
  <c r="B84" i="14" s="1"/>
  <c r="C28" i="14"/>
  <c r="B81" i="14" s="1"/>
  <c r="V89" i="14"/>
  <c r="W30" i="14" s="1"/>
  <c r="X30" i="14" s="1"/>
  <c r="U30" i="14"/>
  <c r="P89" i="14"/>
  <c r="P30" i="14" s="1"/>
  <c r="F89" i="14"/>
  <c r="F30" i="14" s="1"/>
  <c r="E89" i="14"/>
  <c r="E30" i="14" s="1"/>
  <c r="D89" i="14"/>
  <c r="D30" i="14" s="1"/>
  <c r="G88" i="14"/>
  <c r="G87" i="14"/>
  <c r="V86" i="14"/>
  <c r="W29" i="14" s="1"/>
  <c r="X29" i="14" s="1"/>
  <c r="R29" i="14"/>
  <c r="P86" i="14"/>
  <c r="P29" i="14" s="1"/>
  <c r="F86" i="14"/>
  <c r="F29" i="14" s="1"/>
  <c r="E86" i="14"/>
  <c r="E29" i="14" s="1"/>
  <c r="D86" i="14"/>
  <c r="D29" i="14" s="1"/>
  <c r="G85" i="14"/>
  <c r="K29" i="14"/>
  <c r="G84" i="14"/>
  <c r="V83" i="14"/>
  <c r="W28" i="14" s="1"/>
  <c r="X28" i="14" s="1"/>
  <c r="U83" i="14"/>
  <c r="U28" i="14" s="1"/>
  <c r="T83" i="14"/>
  <c r="T28" i="14"/>
  <c r="S83" i="14"/>
  <c r="S28" i="14" s="1"/>
  <c r="R83" i="14"/>
  <c r="R28" i="14" s="1"/>
  <c r="P83" i="14"/>
  <c r="P28" i="14" s="1"/>
  <c r="F83" i="14"/>
  <c r="F28" i="14" s="1"/>
  <c r="E83" i="14"/>
  <c r="E28" i="14" s="1"/>
  <c r="D83" i="14"/>
  <c r="D28" i="14" s="1"/>
  <c r="G82" i="14"/>
  <c r="G83" i="14" s="1"/>
  <c r="G28" i="14" s="1"/>
  <c r="I30" i="14"/>
  <c r="I29" i="14"/>
  <c r="K30" i="14"/>
  <c r="D24" i="17"/>
  <c r="T9" i="17" s="1"/>
  <c r="L25" i="17"/>
  <c r="J25" i="17"/>
  <c r="V10" i="17"/>
  <c r="X10" i="17"/>
  <c r="U10" i="17" s="1"/>
  <c r="Y10" i="17"/>
  <c r="H25" i="17"/>
  <c r="Y25" i="17"/>
  <c r="Y9" i="17"/>
  <c r="Z9" i="17" s="1"/>
  <c r="X9" i="17"/>
  <c r="Y8" i="17"/>
  <c r="X8" i="17"/>
  <c r="V9" i="17"/>
  <c r="W9" i="17" s="1"/>
  <c r="V8" i="17"/>
  <c r="W8" i="17" s="1"/>
  <c r="L24" i="17"/>
  <c r="F62" i="14"/>
  <c r="F21" i="14" s="1"/>
  <c r="V62" i="14"/>
  <c r="U62" i="14"/>
  <c r="T62" i="14"/>
  <c r="S62" i="14"/>
  <c r="R62" i="14"/>
  <c r="P62" i="14"/>
  <c r="O62" i="14"/>
  <c r="N62" i="14"/>
  <c r="N21" i="14" s="1"/>
  <c r="M62" i="14"/>
  <c r="L62" i="14"/>
  <c r="J62" i="14"/>
  <c r="J21" i="14" s="1"/>
  <c r="H62" i="14"/>
  <c r="E62" i="14"/>
  <c r="D62" i="14"/>
  <c r="D21" i="14" s="1"/>
  <c r="G60" i="14"/>
  <c r="I60" i="14"/>
  <c r="K60" i="14"/>
  <c r="Z59" i="13"/>
  <c r="R59" i="13"/>
  <c r="S59" i="13"/>
  <c r="T59" i="13"/>
  <c r="U59" i="13"/>
  <c r="V59" i="13"/>
  <c r="H19" i="16" s="1"/>
  <c r="Q59" i="13"/>
  <c r="N59" i="13"/>
  <c r="O59" i="13"/>
  <c r="P59" i="13"/>
  <c r="K59" i="13"/>
  <c r="I59" i="13"/>
  <c r="M19" i="16" s="1"/>
  <c r="F59" i="13"/>
  <c r="G19" i="16" s="1"/>
  <c r="G59" i="13"/>
  <c r="V10" i="13" s="1"/>
  <c r="W10" i="13" s="1"/>
  <c r="Y28" i="13"/>
  <c r="W29" i="13"/>
  <c r="Y29" i="13" s="1"/>
  <c r="W28" i="13"/>
  <c r="H28" i="13"/>
  <c r="H29" i="13"/>
  <c r="D28" i="13"/>
  <c r="D29" i="13"/>
  <c r="Y31" i="15"/>
  <c r="H31" i="15"/>
  <c r="R58" i="15"/>
  <c r="S58" i="15"/>
  <c r="T58" i="15"/>
  <c r="U58" i="15"/>
  <c r="V58" i="15"/>
  <c r="H17" i="16" s="1"/>
  <c r="Q58" i="15"/>
  <c r="M58" i="15"/>
  <c r="N58" i="15"/>
  <c r="P58" i="15"/>
  <c r="K58" i="15"/>
  <c r="D40" i="11"/>
  <c r="D39" i="11"/>
  <c r="D38" i="11"/>
  <c r="H39" i="11"/>
  <c r="J39" i="11"/>
  <c r="L39" i="11"/>
  <c r="H38" i="11"/>
  <c r="Y38" i="11"/>
  <c r="Y39" i="11"/>
  <c r="Y40" i="11"/>
  <c r="G25" i="12"/>
  <c r="I25" i="12"/>
  <c r="K25" i="12"/>
  <c r="X25" i="12"/>
  <c r="C25" i="12"/>
  <c r="C24" i="12"/>
  <c r="Q27" i="14"/>
  <c r="C27" i="14"/>
  <c r="B78" i="14" s="1"/>
  <c r="V80" i="14"/>
  <c r="W27" i="14" s="1"/>
  <c r="X27" i="14" s="1"/>
  <c r="U80" i="14"/>
  <c r="U27" i="14" s="1"/>
  <c r="T80" i="14"/>
  <c r="T27" i="14" s="1"/>
  <c r="S80" i="14"/>
  <c r="S27" i="14" s="1"/>
  <c r="R80" i="14"/>
  <c r="R27" i="14" s="1"/>
  <c r="P80" i="14"/>
  <c r="P27" i="14" s="1"/>
  <c r="O80" i="14"/>
  <c r="O27" i="14" s="1"/>
  <c r="N80" i="14"/>
  <c r="N27" i="14" s="1"/>
  <c r="M80" i="14"/>
  <c r="M27" i="14" s="1"/>
  <c r="L80" i="14"/>
  <c r="L27" i="14" s="1"/>
  <c r="J80" i="14"/>
  <c r="J27" i="14" s="1"/>
  <c r="H80" i="14"/>
  <c r="H27" i="14" s="1"/>
  <c r="F80" i="14"/>
  <c r="F27" i="14" s="1"/>
  <c r="E80" i="14"/>
  <c r="E27" i="14" s="1"/>
  <c r="D80" i="14"/>
  <c r="D27" i="14" s="1"/>
  <c r="K79" i="14"/>
  <c r="I79" i="14"/>
  <c r="G79" i="14"/>
  <c r="K78" i="14"/>
  <c r="I78" i="14"/>
  <c r="G78" i="14"/>
  <c r="G80" i="14" s="1"/>
  <c r="G27" i="14" s="1"/>
  <c r="L50" i="12"/>
  <c r="D20" i="16"/>
  <c r="H25" i="13"/>
  <c r="H22" i="13"/>
  <c r="H24" i="13"/>
  <c r="L27" i="13"/>
  <c r="J27" i="13"/>
  <c r="H27" i="13"/>
  <c r="W27" i="13"/>
  <c r="Y27" i="13" s="1"/>
  <c r="D27" i="13"/>
  <c r="V7" i="15"/>
  <c r="W7" i="15" s="1"/>
  <c r="D30" i="15"/>
  <c r="Y29" i="15"/>
  <c r="Y30" i="15"/>
  <c r="L29" i="15"/>
  <c r="L30" i="15"/>
  <c r="J29" i="15"/>
  <c r="J30" i="15"/>
  <c r="H29" i="15"/>
  <c r="H30" i="15"/>
  <c r="D29" i="15"/>
  <c r="C26" i="14"/>
  <c r="Q25" i="14"/>
  <c r="G69" i="14"/>
  <c r="V77" i="14"/>
  <c r="W26" i="14"/>
  <c r="X26" i="14" s="1"/>
  <c r="U77" i="14"/>
  <c r="U26" i="14" s="1"/>
  <c r="T77" i="14"/>
  <c r="T26" i="14" s="1"/>
  <c r="S77" i="14"/>
  <c r="S26" i="14" s="1"/>
  <c r="R77" i="14"/>
  <c r="R26" i="14" s="1"/>
  <c r="Q26" i="14"/>
  <c r="P77" i="14"/>
  <c r="P26" i="14" s="1"/>
  <c r="O77" i="14"/>
  <c r="O26" i="14" s="1"/>
  <c r="N77" i="14"/>
  <c r="N26" i="14" s="1"/>
  <c r="M77" i="14"/>
  <c r="M26" i="14" s="1"/>
  <c r="L77" i="14"/>
  <c r="L26" i="14" s="1"/>
  <c r="J77" i="14"/>
  <c r="J26" i="14" s="1"/>
  <c r="H77" i="14"/>
  <c r="H26" i="14" s="1"/>
  <c r="F77" i="14"/>
  <c r="F26" i="14" s="1"/>
  <c r="E77" i="14"/>
  <c r="E26" i="14" s="1"/>
  <c r="D77" i="14"/>
  <c r="D26" i="14" s="1"/>
  <c r="V74" i="14"/>
  <c r="W25" i="14" s="1"/>
  <c r="U74" i="14"/>
  <c r="U25" i="14" s="1"/>
  <c r="T74" i="14"/>
  <c r="T25" i="14" s="1"/>
  <c r="S74" i="14"/>
  <c r="S25" i="14" s="1"/>
  <c r="R74" i="14"/>
  <c r="R25" i="14" s="1"/>
  <c r="P74" i="14"/>
  <c r="P25" i="14" s="1"/>
  <c r="O74" i="14"/>
  <c r="O25" i="14" s="1"/>
  <c r="N74" i="14"/>
  <c r="N25" i="14" s="1"/>
  <c r="M74" i="14"/>
  <c r="M25" i="14" s="1"/>
  <c r="L74" i="14"/>
  <c r="L25" i="14" s="1"/>
  <c r="J74" i="14"/>
  <c r="J25" i="14" s="1"/>
  <c r="H74" i="14"/>
  <c r="H25" i="14" s="1"/>
  <c r="F74" i="14"/>
  <c r="F25" i="14" s="1"/>
  <c r="E74" i="14"/>
  <c r="E25" i="14" s="1"/>
  <c r="D74" i="14"/>
  <c r="D25" i="14" s="1"/>
  <c r="V71" i="14"/>
  <c r="W24" i="14" s="1"/>
  <c r="X24" i="14" s="1"/>
  <c r="U71" i="14"/>
  <c r="U24" i="14" s="1"/>
  <c r="T71" i="14"/>
  <c r="T24" i="14" s="1"/>
  <c r="S71" i="14"/>
  <c r="S24" i="14" s="1"/>
  <c r="R71" i="14"/>
  <c r="R24" i="14" s="1"/>
  <c r="P71" i="14"/>
  <c r="P24" i="14" s="1"/>
  <c r="O71" i="14"/>
  <c r="O24" i="14"/>
  <c r="N71" i="14"/>
  <c r="N24" i="14" s="1"/>
  <c r="M71" i="14"/>
  <c r="M24" i="14" s="1"/>
  <c r="L71" i="14"/>
  <c r="L24" i="14" s="1"/>
  <c r="J71" i="14"/>
  <c r="J24" i="14" s="1"/>
  <c r="H71" i="14"/>
  <c r="H24" i="14" s="1"/>
  <c r="F71" i="14"/>
  <c r="F24" i="14" s="1"/>
  <c r="E71" i="14"/>
  <c r="E24" i="14" s="1"/>
  <c r="D71" i="14"/>
  <c r="D24" i="14"/>
  <c r="K76" i="14"/>
  <c r="K75" i="14"/>
  <c r="K73" i="14"/>
  <c r="K74" i="14" s="1"/>
  <c r="K25" i="14" s="1"/>
  <c r="K72" i="14"/>
  <c r="K70" i="14"/>
  <c r="K69" i="14"/>
  <c r="I76" i="14"/>
  <c r="I75" i="14"/>
  <c r="I77" i="14" s="1"/>
  <c r="I26" i="14" s="1"/>
  <c r="I73" i="14"/>
  <c r="I72" i="14"/>
  <c r="I70" i="14"/>
  <c r="I69" i="14"/>
  <c r="G76" i="14"/>
  <c r="G75" i="14"/>
  <c r="G73" i="14"/>
  <c r="G72" i="14"/>
  <c r="G74" i="14" s="1"/>
  <c r="G25" i="14" s="1"/>
  <c r="G70" i="14"/>
  <c r="G71" i="14" s="1"/>
  <c r="G24" i="14" s="1"/>
  <c r="B75" i="14"/>
  <c r="C25" i="14"/>
  <c r="B72" i="14" s="1"/>
  <c r="Y24" i="17"/>
  <c r="J24" i="17"/>
  <c r="H24" i="17"/>
  <c r="D7" i="17"/>
  <c r="C22" i="14"/>
  <c r="D23" i="15"/>
  <c r="D8" i="14"/>
  <c r="D10" i="16"/>
  <c r="S10" i="16"/>
  <c r="H21" i="13"/>
  <c r="H23" i="13"/>
  <c r="H26" i="13"/>
  <c r="H20" i="13"/>
  <c r="H28" i="15"/>
  <c r="H27" i="15"/>
  <c r="H26" i="15"/>
  <c r="H25" i="15"/>
  <c r="H24" i="15"/>
  <c r="H23" i="15"/>
  <c r="H32" i="11"/>
  <c r="H33" i="11"/>
  <c r="H34" i="11"/>
  <c r="H35" i="11"/>
  <c r="H36" i="11"/>
  <c r="H37" i="11"/>
  <c r="H31" i="11"/>
  <c r="G23" i="12"/>
  <c r="G24" i="12"/>
  <c r="G22" i="12"/>
  <c r="G67" i="14"/>
  <c r="G66" i="14"/>
  <c r="G64" i="14"/>
  <c r="G63" i="14"/>
  <c r="G61" i="14"/>
  <c r="G62" i="14"/>
  <c r="D19" i="16"/>
  <c r="D17" i="16"/>
  <c r="D12" i="16"/>
  <c r="D8" i="12"/>
  <c r="S11" i="16" s="1"/>
  <c r="Y12" i="12"/>
  <c r="U12" i="12"/>
  <c r="T12" i="12"/>
  <c r="Y9" i="12"/>
  <c r="T9" i="12"/>
  <c r="K23" i="12"/>
  <c r="K24" i="12"/>
  <c r="K22" i="12"/>
  <c r="I23" i="12"/>
  <c r="I24" i="12"/>
  <c r="I22" i="12"/>
  <c r="C23" i="12"/>
  <c r="C22" i="12"/>
  <c r="C21" i="14"/>
  <c r="C23" i="14"/>
  <c r="Q50" i="12"/>
  <c r="O50" i="12"/>
  <c r="X26" i="12"/>
  <c r="S50" i="12"/>
  <c r="P50" i="12"/>
  <c r="R11" i="16"/>
  <c r="R50" i="12"/>
  <c r="X24" i="12"/>
  <c r="J50" i="12"/>
  <c r="O11" i="16" s="1"/>
  <c r="M50" i="12"/>
  <c r="T50" i="12"/>
  <c r="N50" i="12"/>
  <c r="E50" i="12"/>
  <c r="G11" i="16" s="1"/>
  <c r="X23" i="12"/>
  <c r="X22" i="12"/>
  <c r="U50" i="12"/>
  <c r="H11" i="16" s="1"/>
  <c r="Y25" i="13"/>
  <c r="X25" i="13"/>
  <c r="X24" i="13"/>
  <c r="X23" i="13"/>
  <c r="X22" i="13"/>
  <c r="W26" i="13"/>
  <c r="W25" i="13"/>
  <c r="W24" i="13"/>
  <c r="W23" i="13"/>
  <c r="W22" i="13"/>
  <c r="W21" i="13"/>
  <c r="W20" i="13"/>
  <c r="X21" i="13"/>
  <c r="X59" i="13" s="1"/>
  <c r="D26" i="13"/>
  <c r="D25" i="13"/>
  <c r="D24" i="13"/>
  <c r="D23" i="13"/>
  <c r="D22" i="13"/>
  <c r="D21" i="13"/>
  <c r="D20" i="13"/>
  <c r="Y26" i="13"/>
  <c r="L26" i="13"/>
  <c r="J26" i="13"/>
  <c r="Y24" i="13"/>
  <c r="Y23" i="13"/>
  <c r="L23" i="13"/>
  <c r="J23" i="13"/>
  <c r="L22" i="13"/>
  <c r="J22" i="13"/>
  <c r="L21" i="13"/>
  <c r="J21" i="13"/>
  <c r="Y20" i="13"/>
  <c r="J20" i="13"/>
  <c r="Y7" i="13"/>
  <c r="Z7" i="13" s="1"/>
  <c r="V7" i="13"/>
  <c r="W7" i="13" s="1"/>
  <c r="D8" i="13"/>
  <c r="S19" i="16" s="1"/>
  <c r="L28" i="15"/>
  <c r="J28" i="15"/>
  <c r="X27" i="15"/>
  <c r="Y27" i="15" s="1"/>
  <c r="X26" i="15"/>
  <c r="X25" i="15"/>
  <c r="L25" i="15"/>
  <c r="J25" i="15"/>
  <c r="X24" i="15"/>
  <c r="D28" i="15"/>
  <c r="D27" i="15"/>
  <c r="D26" i="15"/>
  <c r="D25" i="15"/>
  <c r="D24" i="15"/>
  <c r="Y28" i="15"/>
  <c r="L27" i="15"/>
  <c r="J27" i="15"/>
  <c r="Y26" i="15"/>
  <c r="L26" i="15"/>
  <c r="J26" i="15"/>
  <c r="Y25" i="15"/>
  <c r="L24" i="15"/>
  <c r="J24" i="15"/>
  <c r="Y23" i="15"/>
  <c r="Y7" i="15"/>
  <c r="Z7" i="15" s="1"/>
  <c r="J23" i="15"/>
  <c r="Y24" i="15"/>
  <c r="Y7" i="11"/>
  <c r="Z7" i="11" s="1"/>
  <c r="V7" i="11"/>
  <c r="W7" i="11" s="1"/>
  <c r="X37" i="11"/>
  <c r="Y37" i="11" s="1"/>
  <c r="X36" i="11"/>
  <c r="Y36" i="11" s="1"/>
  <c r="X35" i="11"/>
  <c r="Y35" i="11" s="1"/>
  <c r="X34" i="11"/>
  <c r="Y34" i="11" s="1"/>
  <c r="L34" i="11"/>
  <c r="L35" i="11"/>
  <c r="L37" i="11"/>
  <c r="I31" i="11"/>
  <c r="I67" i="11" s="1"/>
  <c r="M12" i="16" s="1"/>
  <c r="J34" i="11"/>
  <c r="J35" i="11"/>
  <c r="J37" i="11"/>
  <c r="X33" i="11"/>
  <c r="Y33" i="11" s="1"/>
  <c r="L32" i="11"/>
  <c r="J32" i="11"/>
  <c r="X32" i="11"/>
  <c r="Y32" i="11" s="1"/>
  <c r="D36" i="11"/>
  <c r="D35" i="11"/>
  <c r="D34" i="11"/>
  <c r="D33" i="11"/>
  <c r="D32" i="11"/>
  <c r="D31" i="11"/>
  <c r="X25" i="14"/>
  <c r="J68" i="14"/>
  <c r="J23" i="14" s="1"/>
  <c r="O67" i="14"/>
  <c r="N67" i="14"/>
  <c r="M67" i="14"/>
  <c r="L67" i="14"/>
  <c r="O66" i="14"/>
  <c r="N66" i="14"/>
  <c r="N68" i="14" s="1"/>
  <c r="N23" i="14" s="1"/>
  <c r="M66" i="14"/>
  <c r="M68" i="14"/>
  <c r="M23" i="14" s="1"/>
  <c r="L66" i="14"/>
  <c r="K67" i="14"/>
  <c r="K66" i="14"/>
  <c r="O21" i="14"/>
  <c r="M21" i="14"/>
  <c r="L21" i="14"/>
  <c r="K61" i="14"/>
  <c r="K62" i="14" s="1"/>
  <c r="K21" i="14" s="1"/>
  <c r="I67" i="14"/>
  <c r="I66" i="14"/>
  <c r="I61" i="14"/>
  <c r="H68" i="14"/>
  <c r="H23" i="14" s="1"/>
  <c r="U68" i="14"/>
  <c r="U23" i="14" s="1"/>
  <c r="T68" i="14"/>
  <c r="T23" i="14" s="1"/>
  <c r="S68" i="14"/>
  <c r="S23" i="14" s="1"/>
  <c r="R68" i="14"/>
  <c r="R23" i="14" s="1"/>
  <c r="P68" i="14"/>
  <c r="P23" i="14" s="1"/>
  <c r="U65" i="14"/>
  <c r="U22" i="14" s="1"/>
  <c r="T65" i="14"/>
  <c r="T22" i="14" s="1"/>
  <c r="S65" i="14"/>
  <c r="S22" i="14" s="1"/>
  <c r="R65" i="14"/>
  <c r="R22" i="14" s="1"/>
  <c r="Q65" i="14"/>
  <c r="Q22" i="14" s="1"/>
  <c r="P65" i="14"/>
  <c r="P22" i="14" s="1"/>
  <c r="H21" i="14"/>
  <c r="U21" i="14"/>
  <c r="T21" i="14"/>
  <c r="S21" i="14"/>
  <c r="R21" i="14"/>
  <c r="P21" i="14"/>
  <c r="Y31" i="11"/>
  <c r="V67" i="14"/>
  <c r="V68" i="14" s="1"/>
  <c r="W23" i="14" s="1"/>
  <c r="X23" i="14" s="1"/>
  <c r="V66" i="14"/>
  <c r="E68" i="14"/>
  <c r="E23" i="14" s="1"/>
  <c r="F68" i="14"/>
  <c r="F23" i="14" s="1"/>
  <c r="D68" i="14"/>
  <c r="D23" i="14" s="1"/>
  <c r="W21" i="14"/>
  <c r="X21" i="14" s="1"/>
  <c r="V64" i="14"/>
  <c r="V65" i="14" s="1"/>
  <c r="W22" i="14" s="1"/>
  <c r="X22" i="14" s="1"/>
  <c r="V63" i="14"/>
  <c r="E65" i="14"/>
  <c r="E22" i="14" s="1"/>
  <c r="F65" i="14"/>
  <c r="F22" i="14" s="1"/>
  <c r="D65" i="14"/>
  <c r="D22" i="14" s="1"/>
  <c r="E21" i="14"/>
  <c r="B69" i="14"/>
  <c r="B66" i="14"/>
  <c r="B63" i="14"/>
  <c r="B60" i="14"/>
  <c r="C24" i="14"/>
  <c r="I68" i="14" l="1"/>
  <c r="I23" i="14" s="1"/>
  <c r="I80" i="14"/>
  <c r="I27" i="14" s="1"/>
  <c r="G89" i="14"/>
  <c r="G30" i="14" s="1"/>
  <c r="K107" i="14"/>
  <c r="K36" i="14" s="1"/>
  <c r="G113" i="14"/>
  <c r="G38" i="14" s="1"/>
  <c r="I101" i="14"/>
  <c r="I34" i="14" s="1"/>
  <c r="Y22" i="13"/>
  <c r="G116" i="14"/>
  <c r="G39" i="14" s="1"/>
  <c r="X58" i="15"/>
  <c r="R17" i="16" s="1"/>
  <c r="J17" i="16" s="1"/>
  <c r="G122" i="14"/>
  <c r="K68" i="14"/>
  <c r="K23" i="14" s="1"/>
  <c r="V9" i="12"/>
  <c r="W12" i="17"/>
  <c r="W59" i="13"/>
  <c r="Y59" i="13" s="1"/>
  <c r="V12" i="12"/>
  <c r="U12" i="16"/>
  <c r="O68" i="14"/>
  <c r="O23" i="14" s="1"/>
  <c r="O56" i="14" s="1"/>
  <c r="L71" i="15"/>
  <c r="K110" i="14"/>
  <c r="H71" i="15"/>
  <c r="L18" i="16" s="1"/>
  <c r="I62" i="14"/>
  <c r="I21" i="14" s="1"/>
  <c r="G68" i="14"/>
  <c r="I71" i="14"/>
  <c r="I24" i="14" s="1"/>
  <c r="X35" i="17"/>
  <c r="R20" i="16" s="1"/>
  <c r="T20" i="16" s="1"/>
  <c r="I104" i="14"/>
  <c r="I35" i="14" s="1"/>
  <c r="I107" i="14"/>
  <c r="I36" i="14" s="1"/>
  <c r="K116" i="14"/>
  <c r="K39" i="14" s="1"/>
  <c r="J56" i="14"/>
  <c r="O10" i="16" s="1"/>
  <c r="K104" i="14"/>
  <c r="K35" i="14" s="1"/>
  <c r="H59" i="13"/>
  <c r="I74" i="14"/>
  <c r="I25" i="14" s="1"/>
  <c r="K101" i="14"/>
  <c r="K34" i="14" s="1"/>
  <c r="K113" i="14"/>
  <c r="I116" i="14"/>
  <c r="I39" i="14" s="1"/>
  <c r="H35" i="17"/>
  <c r="L20" i="16" s="1"/>
  <c r="Z7" i="17"/>
  <c r="W10" i="17"/>
  <c r="Y12" i="11"/>
  <c r="Z12" i="11" s="1"/>
  <c r="R13" i="16"/>
  <c r="Y10" i="15"/>
  <c r="AC18" i="15" s="1"/>
  <c r="D11" i="16"/>
  <c r="U11" i="16" s="1"/>
  <c r="V11" i="16"/>
  <c r="X50" i="12"/>
  <c r="P13" i="16"/>
  <c r="Y71" i="15"/>
  <c r="V10" i="15"/>
  <c r="W10" i="15" s="1"/>
  <c r="X10" i="15"/>
  <c r="D8" i="15" s="1"/>
  <c r="S17" i="16" s="1"/>
  <c r="U13" i="15"/>
  <c r="D18" i="16" s="1"/>
  <c r="U18" i="16" s="1"/>
  <c r="R18" i="16"/>
  <c r="Q18" i="16" s="1"/>
  <c r="J71" i="15"/>
  <c r="J58" i="15"/>
  <c r="L58" i="15"/>
  <c r="Z13" i="15"/>
  <c r="V13" i="15"/>
  <c r="M17" i="16"/>
  <c r="N17" i="16" s="1"/>
  <c r="K50" i="12"/>
  <c r="G50" i="12"/>
  <c r="L11" i="16" s="1"/>
  <c r="U17" i="16"/>
  <c r="J90" i="11"/>
  <c r="X67" i="11"/>
  <c r="Y10" i="11" s="1"/>
  <c r="J31" i="11"/>
  <c r="J67" i="11" s="1"/>
  <c r="V10" i="11"/>
  <c r="W10" i="11" s="1"/>
  <c r="Q13" i="16"/>
  <c r="L90" i="11"/>
  <c r="M56" i="14"/>
  <c r="N56" i="14"/>
  <c r="D56" i="14"/>
  <c r="K10" i="16" s="1"/>
  <c r="K21" i="16" s="1"/>
  <c r="Q56" i="14"/>
  <c r="P56" i="14"/>
  <c r="G77" i="14"/>
  <c r="G26" i="14" s="1"/>
  <c r="K71" i="14"/>
  <c r="K24" i="14" s="1"/>
  <c r="K77" i="14"/>
  <c r="K26" i="14" s="1"/>
  <c r="K122" i="14"/>
  <c r="E56" i="14"/>
  <c r="G10" i="16" s="1"/>
  <c r="G21" i="16" s="1"/>
  <c r="R56" i="14"/>
  <c r="S56" i="14"/>
  <c r="H56" i="14"/>
  <c r="M10" i="16" s="1"/>
  <c r="K80" i="14"/>
  <c r="K27" i="14" s="1"/>
  <c r="G86" i="14"/>
  <c r="G29" i="14" s="1"/>
  <c r="G92" i="14"/>
  <c r="G31" i="14" s="1"/>
  <c r="G107" i="14"/>
  <c r="G36" i="14" s="1"/>
  <c r="G21" i="14"/>
  <c r="G22" i="14"/>
  <c r="L68" i="14"/>
  <c r="L23" i="14" s="1"/>
  <c r="L56" i="14" s="1"/>
  <c r="G65" i="14"/>
  <c r="G110" i="14"/>
  <c r="T56" i="14"/>
  <c r="G23" i="14"/>
  <c r="F56" i="14"/>
  <c r="F10" i="16" s="1"/>
  <c r="P10" i="16" s="1"/>
  <c r="U56" i="14"/>
  <c r="H10" i="16" s="1"/>
  <c r="H21" i="16" s="1"/>
  <c r="W56" i="14"/>
  <c r="X10" i="14" s="1"/>
  <c r="Y10" i="14" s="1"/>
  <c r="J59" i="13"/>
  <c r="Y58" i="15"/>
  <c r="H58" i="15"/>
  <c r="L17" i="16" s="1"/>
  <c r="I17" i="16"/>
  <c r="P17" i="16"/>
  <c r="M13" i="16"/>
  <c r="N13" i="16" s="1"/>
  <c r="H90" i="11"/>
  <c r="I13" i="16"/>
  <c r="L67" i="11"/>
  <c r="H67" i="11"/>
  <c r="L12" i="16" s="1"/>
  <c r="I20" i="16"/>
  <c r="P18" i="16"/>
  <c r="N18" i="16"/>
  <c r="I18" i="16"/>
  <c r="Z8" i="17"/>
  <c r="Y35" i="17"/>
  <c r="W11" i="17"/>
  <c r="Z10" i="17"/>
  <c r="J35" i="17"/>
  <c r="L35" i="17"/>
  <c r="P20" i="16"/>
  <c r="U20" i="16"/>
  <c r="J20" i="16"/>
  <c r="N20" i="16"/>
  <c r="O19" i="16"/>
  <c r="L59" i="13"/>
  <c r="Y10" i="13"/>
  <c r="Z10" i="13" s="1"/>
  <c r="R19" i="16"/>
  <c r="T19" i="16" s="1"/>
  <c r="Y21" i="13"/>
  <c r="L19" i="16"/>
  <c r="F19" i="16"/>
  <c r="N19" i="16" s="1"/>
  <c r="D8" i="11"/>
  <c r="S12" i="16" s="1"/>
  <c r="U12" i="11"/>
  <c r="D13" i="16" s="1"/>
  <c r="Y90" i="11"/>
  <c r="N12" i="16"/>
  <c r="I12" i="16"/>
  <c r="P12" i="16"/>
  <c r="I50" i="12"/>
  <c r="T11" i="16"/>
  <c r="Q11" i="16"/>
  <c r="N11" i="16"/>
  <c r="J11" i="16"/>
  <c r="I11" i="16"/>
  <c r="U6" i="12"/>
  <c r="V6" i="12" s="1"/>
  <c r="P11" i="16"/>
  <c r="I56" i="14"/>
  <c r="Q20" i="16" l="1"/>
  <c r="O21" i="16"/>
  <c r="Q17" i="16"/>
  <c r="V20" i="16"/>
  <c r="V17" i="16"/>
  <c r="J13" i="16"/>
  <c r="T17" i="16"/>
  <c r="K56" i="14"/>
  <c r="Z10" i="15"/>
  <c r="Y67" i="11"/>
  <c r="U10" i="14"/>
  <c r="V10" i="14" s="1"/>
  <c r="U10" i="16"/>
  <c r="J18" i="16"/>
  <c r="W13" i="15"/>
  <c r="G56" i="14"/>
  <c r="L10" i="16" s="1"/>
  <c r="L21" i="16" s="1"/>
  <c r="N10" i="16"/>
  <c r="N21" i="16" s="1"/>
  <c r="U13" i="16"/>
  <c r="R12" i="16"/>
  <c r="J12" i="16" s="1"/>
  <c r="M21" i="16"/>
  <c r="S21" i="16"/>
  <c r="R10" i="16"/>
  <c r="Q10" i="16" s="1"/>
  <c r="X56" i="14"/>
  <c r="I10" i="16"/>
  <c r="W12" i="11"/>
  <c r="D21" i="16"/>
  <c r="Z10" i="11"/>
  <c r="F21" i="16"/>
  <c r="P19" i="16"/>
  <c r="P21" i="16" s="1"/>
  <c r="U19" i="16"/>
  <c r="Q19" i="16"/>
  <c r="J19" i="16"/>
  <c r="V19" i="16"/>
  <c r="I19" i="16"/>
  <c r="V12" i="16" l="1"/>
  <c r="I21" i="16"/>
  <c r="T10" i="16"/>
  <c r="Q12" i="16"/>
  <c r="R21" i="16"/>
  <c r="J21" i="16" s="1"/>
  <c r="T12" i="16"/>
  <c r="V10" i="16"/>
  <c r="J10" i="16"/>
  <c r="T21" i="16" l="1"/>
  <c r="Q21" i="16"/>
</calcChain>
</file>

<file path=xl/sharedStrings.xml><?xml version="1.0" encoding="utf-8"?>
<sst xmlns="http://schemas.openxmlformats.org/spreadsheetml/2006/main" count="1810" uniqueCount="296">
  <si>
    <t>Campaign Name:</t>
  </si>
  <si>
    <t>Zespri 18/19</t>
  </si>
  <si>
    <t>Campaign Period:</t>
  </si>
  <si>
    <t>Apr'18-Mar'19</t>
  </si>
  <si>
    <t>Updated:</t>
  </si>
  <si>
    <t>MARKET</t>
  </si>
  <si>
    <t>KPI</t>
  </si>
  <si>
    <t>DELIVERED</t>
  </si>
  <si>
    <t>FOR FAIRER COMPARISON</t>
  </si>
  <si>
    <t>BUDGETS (SGD)</t>
  </si>
  <si>
    <t>DELIVERY ON KPI</t>
  </si>
  <si>
    <t>% SPENT</t>
  </si>
  <si>
    <t>STATUS</t>
  </si>
  <si>
    <t>IMPS</t>
  </si>
  <si>
    <t>TOTAL POST REACH*</t>
  </si>
  <si>
    <t>CLICKS</t>
  </si>
  <si>
    <t>CTR</t>
  </si>
  <si>
    <t>CPM</t>
  </si>
  <si>
    <t>POST ENG</t>
  </si>
  <si>
    <t>POST ENG RATE</t>
  </si>
  <si>
    <t>VIEWS</t>
  </si>
  <si>
    <t>VTR</t>
  </si>
  <si>
    <t>30-SEC VIEWS</t>
  </si>
  <si>
    <t>30-SEC VTR</t>
  </si>
  <si>
    <t>30-SEC CPV</t>
  </si>
  <si>
    <t>SPENT</t>
  </si>
  <si>
    <t>PLANNED SPENDS</t>
  </si>
  <si>
    <t>REMAINING SPENDS</t>
  </si>
  <si>
    <t>ID</t>
  </si>
  <si>
    <t>Facebook Page Post Ads</t>
  </si>
  <si>
    <t>LIVE</t>
  </si>
  <si>
    <t>MY</t>
  </si>
  <si>
    <t>SG</t>
  </si>
  <si>
    <t>Display Banners</t>
  </si>
  <si>
    <t>-</t>
  </si>
  <si>
    <t>ENDED</t>
  </si>
  <si>
    <t>Video Ad Network</t>
  </si>
  <si>
    <t>YouTube</t>
  </si>
  <si>
    <t>TH</t>
  </si>
  <si>
    <t>VN</t>
  </si>
  <si>
    <t>AU</t>
  </si>
  <si>
    <t xml:space="preserve">Grand Total </t>
  </si>
  <si>
    <t>Note:</t>
  </si>
  <si>
    <t>All numbers and spent in this report is based on dashboard figures. It does not take into account invalid activity/ credit.</t>
  </si>
  <si>
    <t>*Total Post Reach is non-unique and is a collective number across all posts.</t>
  </si>
  <si>
    <t>ZESPRI INDONESIA</t>
  </si>
  <si>
    <t>CAMPAIGN PERIOD</t>
  </si>
  <si>
    <t>NO. OF POST TO BOOST</t>
  </si>
  <si>
    <t>NO. OF POST BOOSTED</t>
  </si>
  <si>
    <t>BALANCE POST TO BOOST</t>
  </si>
  <si>
    <t>TOTAL BUDGET</t>
  </si>
  <si>
    <t>CURRENCY</t>
  </si>
  <si>
    <t>SGD</t>
  </si>
  <si>
    <t>KPI
(IMPS)</t>
  </si>
  <si>
    <t>Actual</t>
  </si>
  <si>
    <t>Delivery</t>
  </si>
  <si>
    <t>Planned 
Spends</t>
  </si>
  <si>
    <t>Actual 
Spends</t>
  </si>
  <si>
    <t>% Spent</t>
  </si>
  <si>
    <t xml:space="preserve">UPDATED AS OF </t>
  </si>
  <si>
    <t>KEY TAKEAWAYS</t>
  </si>
  <si>
    <t>MONTHLY SUMMARY (BOOSTED POST)</t>
  </si>
  <si>
    <t>DATES</t>
  </si>
  <si>
    <t>BOOSTED POST</t>
  </si>
  <si>
    <t>POST ENGAGEMENT</t>
  </si>
  <si>
    <t>POST REACH</t>
  </si>
  <si>
    <t>POST IMPRESSION</t>
  </si>
  <si>
    <t>ENGAGEMENT RATE</t>
  </si>
  <si>
    <t>VIDEO VIEWS</t>
  </si>
  <si>
    <t>30S VIEWS</t>
  </si>
  <si>
    <t>30S VTR</t>
  </si>
  <si>
    <t>VIDEO 25%</t>
  </si>
  <si>
    <t>VIDEO 50%</t>
  </si>
  <si>
    <t>VIDEO 75%</t>
  </si>
  <si>
    <t>VIDEO 100%</t>
  </si>
  <si>
    <t>PAGE LIKE</t>
  </si>
  <si>
    <t>PHOTO VIEW</t>
  </si>
  <si>
    <t>POST COMMENTS</t>
  </si>
  <si>
    <t>POST REACTIONS</t>
  </si>
  <si>
    <t>POST SHARE</t>
  </si>
  <si>
    <t>POST CLICKS</t>
  </si>
  <si>
    <t>PLANNED SPEND</t>
  </si>
  <si>
    <t>ACTUAL SPENT</t>
  </si>
  <si>
    <t>REMAINING SPEND</t>
  </si>
  <si>
    <t>RELEVANCE SCORE</t>
  </si>
  <si>
    <t>7 May - 11 May</t>
  </si>
  <si>
    <t>13 May - 16 May</t>
  </si>
  <si>
    <t>17 May - 20 May</t>
  </si>
  <si>
    <t>31 May - 2 Jun</t>
  </si>
  <si>
    <t>1 Jun - 4 Jun</t>
  </si>
  <si>
    <t>5 Jun - 9 Jun</t>
  </si>
  <si>
    <t>15 Jun - 18 Jun</t>
  </si>
  <si>
    <t>22 Jun - 24 Jun</t>
  </si>
  <si>
    <t>27 Jun - 29 Jun</t>
  </si>
  <si>
    <t>30 Jun - 3 Jul</t>
  </si>
  <si>
    <t>4 Jul - 6 Jul</t>
  </si>
  <si>
    <t>13 Jul - 15 Jul</t>
  </si>
  <si>
    <t>16 Jul - 18 Jul</t>
  </si>
  <si>
    <t>26 Jul - 28 Jul</t>
  </si>
  <si>
    <t>30 Jul - 1 Aug</t>
  </si>
  <si>
    <t>2 Aug - 4 Aug</t>
  </si>
  <si>
    <t>17 Aug - 19 Aug</t>
  </si>
  <si>
    <t>22 Aug - 24 Aug</t>
  </si>
  <si>
    <t>25 Aug - 28 Aug</t>
  </si>
  <si>
    <t>1 Sept - 3 Sept</t>
  </si>
  <si>
    <t>5 Sept - 7 Sept</t>
  </si>
  <si>
    <t>5 Sept</t>
  </si>
  <si>
    <t>21 Sept - 24 Sept</t>
  </si>
  <si>
    <t xml:space="preserve">22 Sept - 24 Sept </t>
  </si>
  <si>
    <t xml:space="preserve">24 Sept - 27 Sept </t>
  </si>
  <si>
    <t xml:space="preserve">15 Oct - 18 Oct </t>
  </si>
  <si>
    <t xml:space="preserve">24 Oct - 28 Oct </t>
  </si>
  <si>
    <t xml:space="preserve">30 Oct - 31 Oct </t>
  </si>
  <si>
    <t xml:space="preserve">14 Nov - 15 Npv </t>
  </si>
  <si>
    <t xml:space="preserve">22 Nov - 25 Nov </t>
  </si>
  <si>
    <t>23 Nov - 26 Nov</t>
  </si>
  <si>
    <t xml:space="preserve">5 Dec - 6 Dec </t>
  </si>
  <si>
    <t xml:space="preserve">20 Dec - 25 Dec </t>
  </si>
  <si>
    <t xml:space="preserve">24 Dec - 28 Dec </t>
  </si>
  <si>
    <t xml:space="preserve">14 Jan - 18 Jan </t>
  </si>
  <si>
    <t>Total</t>
  </si>
  <si>
    <t>TARGETING BREAKDOWN</t>
  </si>
  <si>
    <t xml:space="preserve">BOOSTED POST </t>
  </si>
  <si>
    <t>TARGETTING</t>
  </si>
  <si>
    <t>Jakarta</t>
  </si>
  <si>
    <t>All the rest</t>
  </si>
  <si>
    <t>Sub-Total</t>
  </si>
  <si>
    <t>ZESPRI MALAYSIA</t>
  </si>
  <si>
    <t>Sustenance (Green &amp; SunGold)</t>
  </si>
  <si>
    <t>National Campaign</t>
  </si>
  <si>
    <t>USD</t>
  </si>
  <si>
    <t>Kiwi Bird Spife Campaign</t>
  </si>
  <si>
    <t>4 May - 7 May</t>
  </si>
  <si>
    <t>16 May - 18 May</t>
  </si>
  <si>
    <t>21 May - 25 May</t>
  </si>
  <si>
    <t>30 Jun - 1 Jul</t>
  </si>
  <si>
    <t>2 Jul - 4 Jul</t>
  </si>
  <si>
    <t>6 Jul - 11 Jul</t>
  </si>
  <si>
    <t>10 Jul - 13 Jul</t>
  </si>
  <si>
    <t>20 Jul - 22 Jul</t>
  </si>
  <si>
    <t>9 Aug - 11 Aug</t>
  </si>
  <si>
    <t>31 Aug - 2 Sept</t>
  </si>
  <si>
    <t>9 Sept - 12 Sept</t>
  </si>
  <si>
    <t xml:space="preserve">4 Oct - 7 Oct </t>
  </si>
  <si>
    <t xml:space="preserve">12 Oct - 16 Oct </t>
  </si>
  <si>
    <t xml:space="preserve">16 Oct - 20 Oct </t>
  </si>
  <si>
    <t xml:space="preserve">19 Oct - 23 Oct </t>
  </si>
  <si>
    <t xml:space="preserve">6 Nov - 7 Nov </t>
  </si>
  <si>
    <t xml:space="preserve">14 Nov - 19 Nov </t>
  </si>
  <si>
    <t xml:space="preserve">28 Nov - 4 Dec </t>
  </si>
  <si>
    <t>19 Dec - 23 Dec</t>
  </si>
  <si>
    <t>24 Dec - 28 Dec</t>
  </si>
  <si>
    <t>ZESPRI SINGAPORE</t>
  </si>
  <si>
    <t>Hashtag</t>
  </si>
  <si>
    <t>Precision Social</t>
  </si>
  <si>
    <t>KPI
(Views)</t>
  </si>
  <si>
    <t>Precision/
APEX
(Display + Video Ad Network)</t>
  </si>
  <si>
    <t>KPI
(Imps)</t>
  </si>
  <si>
    <t>MONTHLY SUMMARY (BOOSTED POST) - Optimised by Reach</t>
  </si>
  <si>
    <t>BOOSTED BY</t>
  </si>
  <si>
    <t>13 Apr - 20 Apr</t>
  </si>
  <si>
    <t>Precision</t>
  </si>
  <si>
    <t>28 Apr - 1 May</t>
  </si>
  <si>
    <t>30 Apr - 3 May</t>
  </si>
  <si>
    <t>8 May - 10 May</t>
  </si>
  <si>
    <t>11 May - 14 May</t>
  </si>
  <si>
    <t>23 May - 26 May</t>
  </si>
  <si>
    <t>12 Jun - 14 Jun</t>
  </si>
  <si>
    <t>15 Jun - 19 Jun</t>
  </si>
  <si>
    <t>17 Jun - 19 Jun</t>
  </si>
  <si>
    <t>22 Jun - 25 Jun</t>
  </si>
  <si>
    <t>6 Jul - 8 Jul</t>
  </si>
  <si>
    <t>12 Jul - 14 Jul</t>
  </si>
  <si>
    <t>18 Jul - 21 Jul</t>
  </si>
  <si>
    <t>1 Aug - 3 Aug</t>
  </si>
  <si>
    <t xml:space="preserve">30 Sug - 4 Sept </t>
  </si>
  <si>
    <t xml:space="preserve">8 Sept - 10 Sept </t>
  </si>
  <si>
    <t xml:space="preserve">14 Sept - 18 Sept </t>
  </si>
  <si>
    <t>18 Sept - 22 Sept</t>
  </si>
  <si>
    <t xml:space="preserve">25 Sept -26 Sept
(disapproved) </t>
  </si>
  <si>
    <t xml:space="preserve">27 Sept - 1Oct </t>
  </si>
  <si>
    <t xml:space="preserve">22 Oct - 25 Oct </t>
  </si>
  <si>
    <t xml:space="preserve">12 Nov - 15 Nov </t>
  </si>
  <si>
    <t>14 Nov - 15 Nov</t>
  </si>
  <si>
    <t xml:space="preserve">28 Nov - 1 Dec </t>
  </si>
  <si>
    <t xml:space="preserve">5 Dec - 9 Dec </t>
  </si>
  <si>
    <t xml:space="preserve">19 Dec - 23 Dec </t>
  </si>
  <si>
    <t xml:space="preserve">14 Jan- 17 Jan </t>
  </si>
  <si>
    <t>* Remaining budget from 25 Sept post shifted to 6 Oct post ($854.06)</t>
  </si>
  <si>
    <t>MONTHLY SUMMARY (BOOSTED POST) -Optimised by Views</t>
  </si>
  <si>
    <t xml:space="preserve">Precision </t>
  </si>
  <si>
    <t>23 Jul - 25 Jul</t>
  </si>
  <si>
    <t>31 Jul - 2 Aug</t>
  </si>
  <si>
    <t xml:space="preserve">17 Aug - 19 Aug </t>
  </si>
  <si>
    <t>21 Aug - 24 Aug</t>
  </si>
  <si>
    <t>27 Aug - 29 Aug</t>
  </si>
  <si>
    <t>11 Sept - 13 Sept</t>
  </si>
  <si>
    <r>
      <t xml:space="preserve">19 Sept - 23 Sept  
</t>
    </r>
    <r>
      <rPr>
        <sz val="10"/>
        <color rgb="FFC00000"/>
        <rFont val="Calibri"/>
        <family val="2"/>
        <scheme val="minor"/>
      </rPr>
      <t>(paused)</t>
    </r>
    <r>
      <rPr>
        <sz val="10"/>
        <rFont val="Calibri"/>
        <family val="2"/>
        <scheme val="minor"/>
      </rPr>
      <t xml:space="preserve"> </t>
    </r>
  </si>
  <si>
    <t xml:space="preserve">21 Sept - 26 Sept </t>
  </si>
  <si>
    <t xml:space="preserve">22 Sept - 25 Sept </t>
  </si>
  <si>
    <t xml:space="preserve">24 Sept - 26Sept </t>
  </si>
  <si>
    <t xml:space="preserve">5 Oct - 8 Oct </t>
  </si>
  <si>
    <t xml:space="preserve">6 Oct - 9 Oct </t>
  </si>
  <si>
    <t xml:space="preserve">8 Oct - 11 Oct </t>
  </si>
  <si>
    <t xml:space="preserve">23 Oct - 26 Oct </t>
  </si>
  <si>
    <t>29 Oct - 1 Nov</t>
  </si>
  <si>
    <t>* Remaining budget from 22 Sept post shifted to 6 Oct post ($160.43)</t>
  </si>
  <si>
    <t>MONTHLY SUMMARY (BOOSTED POST) -Optimised by Event Response</t>
  </si>
  <si>
    <t>EVENT RESPONSE</t>
  </si>
  <si>
    <t>COST PER EVENT RESPONSE</t>
  </si>
  <si>
    <t>7 Sept - 22  Sept</t>
  </si>
  <si>
    <t>Precision Display</t>
  </si>
  <si>
    <t xml:space="preserve">POST NAME </t>
  </si>
  <si>
    <t>IMPRESSION</t>
  </si>
  <si>
    <t xml:space="preserve">CPM </t>
  </si>
  <si>
    <t xml:space="preserve"> CLICKS</t>
  </si>
  <si>
    <t xml:space="preserve">CTR </t>
  </si>
  <si>
    <t>Precision (Via APEX)</t>
  </si>
  <si>
    <t xml:space="preserve">Human Pinball </t>
  </si>
  <si>
    <t xml:space="preserve">21 Sept - 25 Sept </t>
  </si>
  <si>
    <t>Precision Video Ad Network</t>
  </si>
  <si>
    <t>CPV</t>
  </si>
  <si>
    <t xml:space="preserve">Post Campaign </t>
  </si>
  <si>
    <t xml:space="preserve">11 Oct - 21Oct </t>
  </si>
  <si>
    <t xml:space="preserve">Display Boosting (Human PinBall)  - Break Down  </t>
  </si>
  <si>
    <t xml:space="preserve">By Strategy </t>
  </si>
  <si>
    <t xml:space="preserve">Audience </t>
  </si>
  <si>
    <t xml:space="preserve">Category </t>
  </si>
  <si>
    <t xml:space="preserve">Contextual </t>
  </si>
  <si>
    <t xml:space="preserve">Domain Whitelist </t>
  </si>
  <si>
    <t>Mosaic Video</t>
  </si>
  <si>
    <t xml:space="preserve">Post event Video </t>
  </si>
  <si>
    <t>8 Oct – 21Oct</t>
  </si>
  <si>
    <t>ZESPRI THAILAND</t>
  </si>
  <si>
    <t>KPI
(VIEWS)</t>
  </si>
  <si>
    <t>7 May - 10 May</t>
  </si>
  <si>
    <t>28 May - 31 May</t>
  </si>
  <si>
    <t>5 Jun - 8 Jun</t>
  </si>
  <si>
    <t>6 Jun - 9 Jun</t>
  </si>
  <si>
    <t>12 Jun - 15 Jun</t>
  </si>
  <si>
    <t>25 Jun - 28 Jun</t>
  </si>
  <si>
    <t>7 Jul - 8 Jul</t>
  </si>
  <si>
    <t>18 Jul - 20 Jul</t>
  </si>
  <si>
    <t>25 Jul - 27 Jul</t>
  </si>
  <si>
    <t>3 Aug - 5 Aug</t>
  </si>
  <si>
    <t>12 Aug - 15 Aug</t>
  </si>
  <si>
    <t>21 Aug - 23 Aug</t>
  </si>
  <si>
    <t xml:space="preserve">13 Oct - 15 Oct </t>
  </si>
  <si>
    <t xml:space="preserve">25 Oct - 30 Oct </t>
  </si>
  <si>
    <t xml:space="preserve">14 Nov - 15 Nov </t>
  </si>
  <si>
    <t xml:space="preserve">19 Nov - 22 Nov </t>
  </si>
  <si>
    <t xml:space="preserve">24 Nov - 25 Nov </t>
  </si>
  <si>
    <t xml:space="preserve">27 Nov - 30 Nov </t>
  </si>
  <si>
    <t xml:space="preserve">4 Dec - 8 Dec </t>
  </si>
  <si>
    <t xml:space="preserve">5 Dec- 9 dec </t>
  </si>
  <si>
    <t xml:space="preserve">1 Jan - 4 Jan </t>
  </si>
  <si>
    <t>6 Aug - 8 Aug</t>
  </si>
  <si>
    <t>15 Aug - 17 Aug</t>
  </si>
  <si>
    <t>10 Sept -12 Sept</t>
  </si>
  <si>
    <t xml:space="preserve">24 Oct - 27 Oct </t>
  </si>
  <si>
    <t>ZESPRI VIETNAM</t>
  </si>
  <si>
    <t>13 May - 13 May</t>
  </si>
  <si>
    <t>21 May - 24 May</t>
  </si>
  <si>
    <t>29 May - 31 May</t>
  </si>
  <si>
    <t>18 Jun - 21 Jun</t>
  </si>
  <si>
    <t>9 Jul - 11 Jul</t>
  </si>
  <si>
    <t>27 Jul - 29 Jul</t>
  </si>
  <si>
    <t>7 Aug - 9 Aug</t>
  </si>
  <si>
    <t>13 Aug - 15 Aug</t>
  </si>
  <si>
    <t>29 Aug - 30 Aug</t>
  </si>
  <si>
    <t>1 Sept - 4 Sept</t>
  </si>
  <si>
    <t xml:space="preserve">10 Sept - 12 Sept </t>
  </si>
  <si>
    <t xml:space="preserve">19 Sept - 21 Sept </t>
  </si>
  <si>
    <t xml:space="preserve">22 Oct - 26 Oct </t>
  </si>
  <si>
    <t xml:space="preserve">26 Oct - 29 Oct </t>
  </si>
  <si>
    <t>30 Oct  - 1 Nov</t>
  </si>
  <si>
    <t xml:space="preserve">23 Nov - 26 Nov </t>
  </si>
  <si>
    <t xml:space="preserve">26 Nov - 29 Nov </t>
  </si>
  <si>
    <t xml:space="preserve">20 Nov - 4 Dec </t>
  </si>
  <si>
    <t xml:space="preserve">5 Dec - 10 Dec </t>
  </si>
  <si>
    <t xml:space="preserve">10 Dec - 13 Dec </t>
  </si>
  <si>
    <t>11 Dec - 14 Dec</t>
  </si>
  <si>
    <t xml:space="preserve">11 Jan - 25 Jan </t>
  </si>
  <si>
    <t xml:space="preserve">12 Jan - 28 Jan </t>
  </si>
  <si>
    <t>ZESPRI AUSTRALIA</t>
  </si>
  <si>
    <t>Post</t>
  </si>
  <si>
    <t>KPI
(REACH)</t>
  </si>
  <si>
    <t>ALL 
CLICKS</t>
  </si>
  <si>
    <t>15 Apr - 21 Apr</t>
  </si>
  <si>
    <t>Starcom</t>
  </si>
  <si>
    <t>21 May - 31 May</t>
  </si>
  <si>
    <t>1 Jun - 14 Jun</t>
  </si>
  <si>
    <t>9 Jul - 22 Jul</t>
  </si>
  <si>
    <t xml:space="preserve">1 Sept - 14 Sept </t>
  </si>
  <si>
    <t xml:space="preserve">15 Sept - 30 Sept </t>
  </si>
  <si>
    <t xml:space="preserve">24 Dec - 25 Dec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</si>
</sst>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&quot;$&quot;* #,##0.00_);_(&quot;$&quot;* \(#,##0.00\);_(&quot;$&quot;* &quot;-&quot;??_);_(@_)"/>
    <numFmt numFmtId="165" formatCode="&quot;$&quot;#,##0.00;[Red]\-&quot;$&quot;#,##0.00"/>
    <numFmt numFmtId="166" formatCode="_-&quot;$&quot;* #,##0.00_-;\-&quot;$&quot;* #,##0.00_-;_-&quot;$&quot;* &quot;-&quot;??_-;_-@_-"/>
    <numFmt numFmtId="167" formatCode="[$$]#,##0.00"/>
    <numFmt numFmtId="168" formatCode="&quot;$&quot;#,##0.00"/>
    <numFmt numFmtId="169" formatCode="mmmm\ yyyy"/>
    <numFmt numFmtId="170" formatCode="d\ mmm"/>
    <numFmt numFmtId="171" formatCode="0.0%"/>
  </numFmts>
  <fonts count="23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C0000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4" fillId="10" borderId="0" applyNumberFormat="0" applyBorder="0" applyAlignment="0" applyProtection="0"/>
  </cellStyleXfs>
  <cellXfs count="379">
    <xf numFmtId="0" fontId="0" fillId="0" borderId="0" xfId="0" applyFont="1" applyAlignment="1"/>
    <xf numFmtId="0" fontId="4" fillId="2" borderId="0" xfId="0" applyFont="1" applyFill="1" applyBorder="1"/>
    <xf numFmtId="0" fontId="4" fillId="2" borderId="0" xfId="0" applyFont="1" applyFill="1"/>
    <xf numFmtId="37" fontId="4" fillId="2" borderId="1" xfId="0" applyNumberFormat="1" applyFont="1" applyFill="1" applyBorder="1" applyAlignment="1">
      <alignment horizontal="center"/>
    </xf>
    <xf numFmtId="0" fontId="5" fillId="2" borderId="0" xfId="0" applyFont="1" applyFill="1" applyAlignment="1"/>
    <xf numFmtId="0" fontId="6" fillId="2" borderId="0" xfId="0" applyFont="1" applyFill="1" applyAlignment="1"/>
    <xf numFmtId="167" fontId="4" fillId="2" borderId="0" xfId="0" applyNumberFormat="1" applyFont="1" applyFill="1"/>
    <xf numFmtId="0" fontId="4" fillId="2" borderId="0" xfId="0" applyFont="1" applyFill="1" applyAlignment="1"/>
    <xf numFmtId="37" fontId="4" fillId="2" borderId="0" xfId="0" applyNumberFormat="1" applyFont="1" applyFill="1" applyAlignment="1"/>
    <xf numFmtId="0" fontId="7" fillId="2" borderId="0" xfId="0" applyFont="1" applyFill="1" applyAlignment="1"/>
    <xf numFmtId="0" fontId="4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0" fontId="8" fillId="2" borderId="1" xfId="3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167" fontId="10" fillId="2" borderId="1" xfId="0" applyNumberFormat="1" applyFont="1" applyFill="1" applyBorder="1" applyAlignment="1">
      <alignment horizontal="center" wrapText="1"/>
    </xf>
    <xf numFmtId="167" fontId="10" fillId="4" borderId="1" xfId="0" applyNumberFormat="1" applyFont="1" applyFill="1" applyBorder="1" applyAlignment="1">
      <alignment horizontal="center" wrapText="1"/>
    </xf>
    <xf numFmtId="37" fontId="10" fillId="7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4" fillId="7" borderId="1" xfId="0" applyNumberFormat="1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166" fontId="4" fillId="7" borderId="1" xfId="0" applyNumberFormat="1" applyFont="1" applyFill="1" applyBorder="1" applyAlignment="1">
      <alignment horizontal="center"/>
    </xf>
    <xf numFmtId="166" fontId="10" fillId="7" borderId="1" xfId="2" applyNumberFormat="1" applyFont="1" applyFill="1" applyBorder="1" applyAlignment="1">
      <alignment horizontal="center"/>
    </xf>
    <xf numFmtId="9" fontId="4" fillId="2" borderId="1" xfId="1" applyFont="1" applyFill="1" applyBorder="1" applyAlignment="1">
      <alignment horizontal="center"/>
    </xf>
    <xf numFmtId="9" fontId="4" fillId="7" borderId="1" xfId="1" applyFont="1" applyFill="1" applyBorder="1" applyAlignment="1">
      <alignment horizontal="center"/>
    </xf>
    <xf numFmtId="171" fontId="4" fillId="2" borderId="1" xfId="1" applyNumberFormat="1" applyFont="1" applyFill="1" applyBorder="1" applyAlignment="1">
      <alignment horizontal="center"/>
    </xf>
    <xf numFmtId="171" fontId="4" fillId="7" borderId="1" xfId="1" applyNumberFormat="1" applyFont="1" applyFill="1" applyBorder="1" applyAlignment="1">
      <alignment horizontal="center"/>
    </xf>
    <xf numFmtId="9" fontId="4" fillId="2" borderId="1" xfId="1" applyNumberFormat="1" applyFont="1" applyFill="1" applyBorder="1" applyAlignment="1">
      <alignment horizontal="center"/>
    </xf>
    <xf numFmtId="9" fontId="10" fillId="7" borderId="1" xfId="1" applyFont="1" applyFill="1" applyBorder="1" applyAlignment="1">
      <alignment horizontal="center"/>
    </xf>
    <xf numFmtId="166" fontId="10" fillId="7" borderId="1" xfId="0" applyNumberFormat="1" applyFont="1" applyFill="1" applyBorder="1" applyAlignment="1">
      <alignment horizontal="center"/>
    </xf>
    <xf numFmtId="166" fontId="4" fillId="2" borderId="0" xfId="0" applyNumberFormat="1" applyFont="1" applyFill="1" applyBorder="1" applyAlignment="1">
      <alignment horizontal="center"/>
    </xf>
    <xf numFmtId="167" fontId="4" fillId="2" borderId="0" xfId="0" applyNumberFormat="1" applyFont="1" applyFill="1" applyBorder="1"/>
    <xf numFmtId="0" fontId="5" fillId="2" borderId="0" xfId="0" applyFont="1" applyFill="1" applyBorder="1" applyAlignment="1"/>
    <xf numFmtId="0" fontId="4" fillId="2" borderId="0" xfId="0" applyFont="1" applyFill="1" applyBorder="1" applyAlignment="1"/>
    <xf numFmtId="0" fontId="10" fillId="3" borderId="8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9" fontId="10" fillId="3" borderId="1" xfId="1" applyNumberFormat="1" applyFont="1" applyFill="1" applyBorder="1" applyAlignment="1" applyProtection="1">
      <alignment horizontal="center" vertical="center"/>
      <protection locked="0"/>
    </xf>
    <xf numFmtId="3" fontId="11" fillId="0" borderId="1" xfId="0" applyNumberFormat="1" applyFont="1" applyBorder="1" applyAlignment="1">
      <alignment horizontal="center" vertical="center"/>
    </xf>
    <xf numFmtId="3" fontId="11" fillId="5" borderId="1" xfId="0" applyNumberFormat="1" applyFont="1" applyFill="1" applyBorder="1" applyAlignment="1">
      <alignment horizontal="center" vertical="center"/>
    </xf>
    <xf numFmtId="9" fontId="11" fillId="0" borderId="1" xfId="1" applyFont="1" applyBorder="1" applyAlignment="1">
      <alignment horizontal="center" vertical="center"/>
    </xf>
    <xf numFmtId="168" fontId="11" fillId="0" borderId="1" xfId="2" applyNumberFormat="1" applyFont="1" applyBorder="1" applyAlignment="1">
      <alignment horizontal="center" vertical="center"/>
    </xf>
    <xf numFmtId="168" fontId="11" fillId="0" borderId="1" xfId="0" applyNumberFormat="1" applyFont="1" applyBorder="1" applyAlignment="1">
      <alignment horizontal="center" vertical="center"/>
    </xf>
    <xf numFmtId="3" fontId="11" fillId="0" borderId="0" xfId="0" applyNumberFormat="1" applyFont="1" applyBorder="1" applyAlignment="1">
      <alignment horizontal="center" vertical="center"/>
    </xf>
    <xf numFmtId="9" fontId="11" fillId="0" borderId="0" xfId="1" applyFont="1" applyBorder="1" applyAlignment="1">
      <alignment horizontal="center" vertical="center"/>
    </xf>
    <xf numFmtId="168" fontId="11" fillId="0" borderId="0" xfId="2" applyNumberFormat="1" applyFont="1" applyBorder="1" applyAlignment="1">
      <alignment horizontal="center" vertical="center"/>
    </xf>
    <xf numFmtId="168" fontId="11" fillId="0" borderId="0" xfId="0" applyNumberFormat="1" applyFont="1" applyBorder="1" applyAlignment="1">
      <alignment horizontal="center" vertical="center"/>
    </xf>
    <xf numFmtId="3" fontId="11" fillId="2" borderId="0" xfId="0" applyNumberFormat="1" applyFont="1" applyFill="1" applyBorder="1" applyAlignment="1">
      <alignment horizontal="center" vertical="center"/>
    </xf>
    <xf numFmtId="9" fontId="11" fillId="2" borderId="0" xfId="1" applyFont="1" applyFill="1" applyBorder="1" applyAlignment="1">
      <alignment horizontal="center" vertical="center"/>
    </xf>
    <xf numFmtId="168" fontId="11" fillId="2" borderId="0" xfId="2" applyNumberFormat="1" applyFont="1" applyFill="1" applyBorder="1" applyAlignment="1">
      <alignment horizontal="center" vertical="center"/>
    </xf>
    <xf numFmtId="168" fontId="11" fillId="2" borderId="0" xfId="0" applyNumberFormat="1" applyFont="1" applyFill="1" applyBorder="1" applyAlignment="1">
      <alignment horizontal="center" vertical="center"/>
    </xf>
    <xf numFmtId="0" fontId="4" fillId="2" borderId="11" xfId="0" applyFont="1" applyFill="1" applyBorder="1"/>
    <xf numFmtId="167" fontId="4" fillId="2" borderId="11" xfId="0" applyNumberFormat="1" applyFont="1" applyFill="1" applyBorder="1"/>
    <xf numFmtId="0" fontId="5" fillId="2" borderId="11" xfId="0" applyFont="1" applyFill="1" applyBorder="1" applyAlignment="1"/>
    <xf numFmtId="0" fontId="4" fillId="2" borderId="11" xfId="0" applyFont="1" applyFill="1" applyBorder="1" applyAlignment="1"/>
    <xf numFmtId="167" fontId="4" fillId="2" borderId="12" xfId="0" applyNumberFormat="1" applyFont="1" applyFill="1" applyBorder="1"/>
    <xf numFmtId="0" fontId="4" fillId="2" borderId="13" xfId="0" applyFont="1" applyFill="1" applyBorder="1" applyAlignment="1"/>
    <xf numFmtId="0" fontId="5" fillId="2" borderId="6" xfId="0" applyFont="1" applyFill="1" applyBorder="1" applyAlignment="1"/>
    <xf numFmtId="0" fontId="4" fillId="2" borderId="14" xfId="0" applyFont="1" applyFill="1" applyBorder="1"/>
    <xf numFmtId="0" fontId="4" fillId="2" borderId="5" xfId="0" applyFont="1" applyFill="1" applyBorder="1"/>
    <xf numFmtId="0" fontId="5" fillId="2" borderId="5" xfId="0" applyFont="1" applyFill="1" applyBorder="1" applyAlignment="1"/>
    <xf numFmtId="167" fontId="4" fillId="2" borderId="15" xfId="0" applyNumberFormat="1" applyFont="1" applyFill="1" applyBorder="1"/>
    <xf numFmtId="0" fontId="7" fillId="2" borderId="10" xfId="0" applyFont="1" applyFill="1" applyBorder="1" applyAlignment="1"/>
    <xf numFmtId="10" fontId="4" fillId="2" borderId="0" xfId="0" applyNumberFormat="1" applyFont="1" applyFill="1" applyBorder="1"/>
    <xf numFmtId="0" fontId="7" fillId="2" borderId="13" xfId="0" applyFont="1" applyFill="1" applyBorder="1" applyAlignment="1"/>
    <xf numFmtId="167" fontId="4" fillId="2" borderId="6" xfId="0" applyNumberFormat="1" applyFont="1" applyFill="1" applyBorder="1"/>
    <xf numFmtId="168" fontId="11" fillId="2" borderId="1" xfId="2" applyNumberFormat="1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/>
    </xf>
    <xf numFmtId="37" fontId="4" fillId="2" borderId="9" xfId="0" applyNumberFormat="1" applyFont="1" applyFill="1" applyBorder="1" applyAlignment="1">
      <alignment horizontal="center"/>
    </xf>
    <xf numFmtId="166" fontId="4" fillId="2" borderId="9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37" fontId="10" fillId="7" borderId="4" xfId="0" applyNumberFormat="1" applyFont="1" applyFill="1" applyBorder="1" applyAlignment="1">
      <alignment horizontal="center"/>
    </xf>
    <xf numFmtId="9" fontId="10" fillId="7" borderId="4" xfId="1" applyFont="1" applyFill="1" applyBorder="1" applyAlignment="1">
      <alignment horizontal="center"/>
    </xf>
    <xf numFmtId="166" fontId="10" fillId="7" borderId="4" xfId="0" applyNumberFormat="1" applyFont="1" applyFill="1" applyBorder="1" applyAlignment="1">
      <alignment horizontal="center"/>
    </xf>
    <xf numFmtId="166" fontId="10" fillId="7" borderId="4" xfId="2" applyNumberFormat="1" applyFont="1" applyFill="1" applyBorder="1" applyAlignment="1">
      <alignment horizontal="center"/>
    </xf>
    <xf numFmtId="166" fontId="5" fillId="2" borderId="1" xfId="0" applyNumberFormat="1" applyFont="1" applyFill="1" applyBorder="1" applyAlignment="1"/>
    <xf numFmtId="1" fontId="10" fillId="7" borderId="4" xfId="0" applyNumberFormat="1" applyFont="1" applyFill="1" applyBorder="1" applyAlignment="1">
      <alignment horizontal="center"/>
    </xf>
    <xf numFmtId="1" fontId="10" fillId="7" borderId="1" xfId="0" applyNumberFormat="1" applyFont="1" applyFill="1" applyBorder="1" applyAlignment="1">
      <alignment horizontal="center"/>
    </xf>
    <xf numFmtId="37" fontId="4" fillId="0" borderId="1" xfId="0" applyNumberFormat="1" applyFont="1" applyBorder="1" applyAlignment="1">
      <alignment horizontal="center"/>
    </xf>
    <xf numFmtId="170" fontId="8" fillId="2" borderId="8" xfId="3" applyNumberFormat="1" applyFont="1" applyFill="1" applyBorder="1" applyAlignment="1">
      <alignment horizontal="center"/>
    </xf>
    <xf numFmtId="3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9" fontId="5" fillId="2" borderId="1" xfId="1" applyFont="1" applyFill="1" applyBorder="1" applyAlignment="1">
      <alignment horizontal="center"/>
    </xf>
    <xf numFmtId="169" fontId="4" fillId="2" borderId="0" xfId="0" applyNumberFormat="1" applyFont="1" applyFill="1" applyAlignment="1">
      <alignment horizontal="right"/>
    </xf>
    <xf numFmtId="0" fontId="12" fillId="2" borderId="1" xfId="0" applyFont="1" applyFill="1" applyBorder="1" applyAlignment="1">
      <alignment horizontal="center" wrapText="1"/>
    </xf>
    <xf numFmtId="0" fontId="4" fillId="2" borderId="12" xfId="0" applyFont="1" applyFill="1" applyBorder="1"/>
    <xf numFmtId="0" fontId="4" fillId="2" borderId="6" xfId="0" applyFont="1" applyFill="1" applyBorder="1"/>
    <xf numFmtId="167" fontId="4" fillId="2" borderId="5" xfId="0" applyNumberFormat="1" applyFont="1" applyFill="1" applyBorder="1"/>
    <xf numFmtId="0" fontId="4" fillId="2" borderId="15" xfId="0" applyFont="1" applyFill="1" applyBorder="1"/>
    <xf numFmtId="16" fontId="4" fillId="2" borderId="0" xfId="0" applyNumberFormat="1" applyFont="1" applyFill="1" applyBorder="1"/>
    <xf numFmtId="168" fontId="4" fillId="2" borderId="0" xfId="0" applyNumberFormat="1" applyFont="1" applyFill="1" applyAlignment="1"/>
    <xf numFmtId="168" fontId="11" fillId="2" borderId="1" xfId="0" applyNumberFormat="1" applyFont="1" applyFill="1" applyBorder="1" applyAlignment="1">
      <alignment horizontal="center" vertical="center"/>
    </xf>
    <xf numFmtId="3" fontId="11" fillId="2" borderId="1" xfId="0" applyNumberFormat="1" applyFont="1" applyFill="1" applyBorder="1" applyAlignment="1">
      <alignment horizontal="center" vertical="center"/>
    </xf>
    <xf numFmtId="37" fontId="4" fillId="5" borderId="1" xfId="0" applyNumberFormat="1" applyFont="1" applyFill="1" applyBorder="1" applyAlignment="1">
      <alignment horizontal="center"/>
    </xf>
    <xf numFmtId="37" fontId="4" fillId="5" borderId="9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wrapText="1"/>
    </xf>
    <xf numFmtId="9" fontId="10" fillId="7" borderId="1" xfId="1" applyNumberFormat="1" applyFont="1" applyFill="1" applyBorder="1" applyAlignment="1">
      <alignment horizontal="center"/>
    </xf>
    <xf numFmtId="171" fontId="10" fillId="7" borderId="1" xfId="1" applyNumberFormat="1" applyFont="1" applyFill="1" applyBorder="1" applyAlignment="1">
      <alignment horizontal="center"/>
    </xf>
    <xf numFmtId="3" fontId="5" fillId="2" borderId="0" xfId="0" applyNumberFormat="1" applyFont="1" applyFill="1" applyAlignment="1">
      <alignment horizontal="center"/>
    </xf>
    <xf numFmtId="167" fontId="4" fillId="2" borderId="0" xfId="0" applyNumberFormat="1" applyFont="1" applyFill="1" applyBorder="1" applyAlignment="1">
      <alignment horizontal="right"/>
    </xf>
    <xf numFmtId="168" fontId="4" fillId="2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 vertical="top"/>
    </xf>
    <xf numFmtId="0" fontId="11" fillId="0" borderId="0" xfId="0" applyFont="1" applyFill="1" applyAlignment="1">
      <alignment vertical="top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16" fontId="11" fillId="0" borderId="0" xfId="0" applyNumberFormat="1" applyFont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/>
    </xf>
    <xf numFmtId="9" fontId="11" fillId="0" borderId="1" xfId="1" applyFont="1" applyFill="1" applyBorder="1" applyAlignment="1">
      <alignment horizontal="center" vertical="center"/>
    </xf>
    <xf numFmtId="171" fontId="11" fillId="0" borderId="1" xfId="1" applyNumberFormat="1" applyFont="1" applyFill="1" applyBorder="1" applyAlignment="1">
      <alignment horizontal="center" vertical="center"/>
    </xf>
    <xf numFmtId="164" fontId="11" fillId="0" borderId="1" xfId="2" applyFont="1" applyBorder="1" applyAlignment="1">
      <alignment horizontal="center" vertical="center"/>
    </xf>
    <xf numFmtId="164" fontId="11" fillId="0" borderId="1" xfId="2" applyNumberFormat="1" applyFont="1" applyBorder="1" applyAlignment="1">
      <alignment horizontal="center" vertical="center"/>
    </xf>
    <xf numFmtId="169" fontId="4" fillId="2" borderId="0" xfId="0" applyNumberFormat="1" applyFont="1" applyFill="1" applyAlignment="1">
      <alignment horizontal="left"/>
    </xf>
    <xf numFmtId="0" fontId="5" fillId="0" borderId="0" xfId="0" applyFont="1" applyAlignment="1"/>
    <xf numFmtId="9" fontId="11" fillId="0" borderId="1" xfId="1" applyNumberFormat="1" applyFont="1" applyFill="1" applyBorder="1" applyAlignment="1">
      <alignment horizontal="center" vertical="center"/>
    </xf>
    <xf numFmtId="3" fontId="11" fillId="0" borderId="1" xfId="1" applyNumberFormat="1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vertical="center"/>
    </xf>
    <xf numFmtId="3" fontId="11" fillId="9" borderId="1" xfId="0" applyNumberFormat="1" applyFont="1" applyFill="1" applyBorder="1" applyAlignment="1">
      <alignment horizontal="center" vertical="center"/>
    </xf>
    <xf numFmtId="10" fontId="4" fillId="2" borderId="1" xfId="1" applyNumberFormat="1" applyFont="1" applyFill="1" applyBorder="1" applyAlignment="1">
      <alignment horizontal="center"/>
    </xf>
    <xf numFmtId="171" fontId="5" fillId="2" borderId="1" xfId="1" applyNumberFormat="1" applyFont="1" applyFill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166" fontId="11" fillId="0" borderId="1" xfId="2" applyNumberFormat="1" applyFont="1" applyFill="1" applyBorder="1" applyAlignment="1">
      <alignment horizontal="center" vertical="center"/>
    </xf>
    <xf numFmtId="0" fontId="11" fillId="5" borderId="31" xfId="0" applyFont="1" applyFill="1" applyBorder="1" applyAlignment="1">
      <alignment horizontal="center" vertical="center"/>
    </xf>
    <xf numFmtId="3" fontId="11" fillId="9" borderId="31" xfId="0" applyNumberFormat="1" applyFont="1" applyFill="1" applyBorder="1" applyAlignment="1">
      <alignment horizontal="center" vertical="center"/>
    </xf>
    <xf numFmtId="3" fontId="11" fillId="2" borderId="31" xfId="0" applyNumberFormat="1" applyFont="1" applyFill="1" applyBorder="1" applyAlignment="1">
      <alignment horizontal="center" vertical="center"/>
    </xf>
    <xf numFmtId="9" fontId="11" fillId="0" borderId="31" xfId="1" applyFont="1" applyFill="1" applyBorder="1" applyAlignment="1">
      <alignment horizontal="center" vertical="center"/>
    </xf>
    <xf numFmtId="166" fontId="11" fillId="0" borderId="31" xfId="2" applyNumberFormat="1" applyFont="1" applyFill="1" applyBorder="1" applyAlignment="1">
      <alignment horizontal="center" vertical="center"/>
    </xf>
    <xf numFmtId="3" fontId="11" fillId="0" borderId="31" xfId="0" applyNumberFormat="1" applyFont="1" applyFill="1" applyBorder="1" applyAlignment="1">
      <alignment horizontal="center" vertical="center"/>
    </xf>
    <xf numFmtId="9" fontId="11" fillId="0" borderId="31" xfId="1" applyNumberFormat="1" applyFont="1" applyFill="1" applyBorder="1" applyAlignment="1">
      <alignment horizontal="center" vertical="center"/>
    </xf>
    <xf numFmtId="3" fontId="11" fillId="0" borderId="31" xfId="0" applyNumberFormat="1" applyFont="1" applyBorder="1" applyAlignment="1">
      <alignment horizontal="center" vertical="center"/>
    </xf>
    <xf numFmtId="171" fontId="11" fillId="0" borderId="31" xfId="1" applyNumberFormat="1" applyFont="1" applyFill="1" applyBorder="1" applyAlignment="1">
      <alignment horizontal="center" vertical="center"/>
    </xf>
    <xf numFmtId="164" fontId="11" fillId="0" borderId="31" xfId="2" applyFont="1" applyBorder="1" applyAlignment="1">
      <alignment horizontal="center" vertical="center"/>
    </xf>
    <xf numFmtId="9" fontId="11" fillId="0" borderId="31" xfId="1" applyFont="1" applyBorder="1" applyAlignment="1">
      <alignment horizontal="center" vertical="center"/>
    </xf>
    <xf numFmtId="9" fontId="4" fillId="7" borderId="1" xfId="1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wrapText="1"/>
    </xf>
    <xf numFmtId="37" fontId="4" fillId="0" borderId="1" xfId="0" applyNumberFormat="1" applyFont="1" applyFill="1" applyBorder="1" applyAlignment="1">
      <alignment horizontal="center"/>
    </xf>
    <xf numFmtId="0" fontId="11" fillId="2" borderId="0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/>
    <xf numFmtId="170" fontId="3" fillId="2" borderId="1" xfId="3" applyNumberFormat="1" applyFill="1" applyBorder="1" applyAlignment="1">
      <alignment horizontal="center"/>
    </xf>
    <xf numFmtId="3" fontId="4" fillId="2" borderId="1" xfId="1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164" fontId="5" fillId="2" borderId="1" xfId="2" applyFont="1" applyFill="1" applyBorder="1" applyAlignment="1"/>
    <xf numFmtId="164" fontId="11" fillId="2" borderId="1" xfId="2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 wrapText="1"/>
    </xf>
    <xf numFmtId="164" fontId="4" fillId="2" borderId="0" xfId="0" applyNumberFormat="1" applyFont="1" applyFill="1" applyAlignment="1">
      <alignment horizontal="center"/>
    </xf>
    <xf numFmtId="3" fontId="7" fillId="3" borderId="32" xfId="0" applyNumberFormat="1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171" fontId="7" fillId="3" borderId="32" xfId="1" applyNumberFormat="1" applyFont="1" applyFill="1" applyBorder="1" applyAlignment="1">
      <alignment horizontal="center" vertical="center"/>
    </xf>
    <xf numFmtId="164" fontId="10" fillId="3" borderId="32" xfId="2" applyFont="1" applyFill="1" applyBorder="1" applyAlignment="1">
      <alignment horizontal="center" vertical="center"/>
    </xf>
    <xf numFmtId="9" fontId="7" fillId="3" borderId="32" xfId="1" applyNumberFormat="1" applyFont="1" applyFill="1" applyBorder="1" applyAlignment="1">
      <alignment horizontal="center" vertical="center"/>
    </xf>
    <xf numFmtId="164" fontId="7" fillId="3" borderId="32" xfId="2" applyFont="1" applyFill="1" applyBorder="1" applyAlignment="1">
      <alignment horizontal="center" vertical="center"/>
    </xf>
    <xf numFmtId="164" fontId="7" fillId="3" borderId="32" xfId="2" applyNumberFormat="1" applyFont="1" applyFill="1" applyBorder="1" applyAlignment="1">
      <alignment horizontal="center" vertical="center"/>
    </xf>
    <xf numFmtId="166" fontId="7" fillId="3" borderId="32" xfId="2" applyNumberFormat="1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11" fillId="3" borderId="33" xfId="0" applyFont="1" applyFill="1" applyBorder="1" applyAlignment="1">
      <alignment horizontal="center" vertical="center"/>
    </xf>
    <xf numFmtId="0" fontId="11" fillId="3" borderId="34" xfId="0" applyFont="1" applyFill="1" applyBorder="1" applyAlignment="1">
      <alignment horizontal="center" vertical="center"/>
    </xf>
    <xf numFmtId="3" fontId="15" fillId="10" borderId="1" xfId="4" applyNumberFormat="1" applyFont="1" applyBorder="1" applyAlignment="1">
      <alignment horizontal="center" vertical="center"/>
    </xf>
    <xf numFmtId="170" fontId="8" fillId="2" borderId="9" xfId="3" applyNumberFormat="1" applyFont="1" applyFill="1" applyBorder="1" applyAlignment="1">
      <alignment horizontal="center"/>
    </xf>
    <xf numFmtId="9" fontId="4" fillId="2" borderId="9" xfId="1" applyFont="1" applyFill="1" applyBorder="1" applyAlignment="1">
      <alignment horizontal="center"/>
    </xf>
    <xf numFmtId="171" fontId="7" fillId="3" borderId="1" xfId="1" applyNumberFormat="1" applyFont="1" applyFill="1" applyBorder="1" applyAlignment="1">
      <alignment horizontal="center"/>
    </xf>
    <xf numFmtId="9" fontId="7" fillId="3" borderId="1" xfId="1" applyNumberFormat="1" applyFont="1" applyFill="1" applyBorder="1" applyAlignment="1">
      <alignment horizontal="center"/>
    </xf>
    <xf numFmtId="170" fontId="3" fillId="2" borderId="1" xfId="3" applyNumberFormat="1" applyFont="1" applyFill="1" applyBorder="1" applyAlignment="1">
      <alignment horizontal="center"/>
    </xf>
    <xf numFmtId="0" fontId="16" fillId="2" borderId="0" xfId="0" applyFont="1" applyFill="1"/>
    <xf numFmtId="0" fontId="16" fillId="2" borderId="0" xfId="0" applyFont="1" applyFill="1" applyBorder="1"/>
    <xf numFmtId="16" fontId="16" fillId="2" borderId="0" xfId="0" applyNumberFormat="1" applyFont="1" applyFill="1" applyBorder="1"/>
    <xf numFmtId="0" fontId="16" fillId="2" borderId="11" xfId="0" applyFont="1" applyFill="1" applyBorder="1"/>
    <xf numFmtId="0" fontId="16" fillId="2" borderId="5" xfId="0" applyFont="1" applyFill="1" applyBorder="1"/>
    <xf numFmtId="0" fontId="17" fillId="2" borderId="1" xfId="0" applyFont="1" applyFill="1" applyBorder="1" applyAlignment="1">
      <alignment horizontal="center" wrapText="1"/>
    </xf>
    <xf numFmtId="0" fontId="18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" fillId="2" borderId="0" xfId="0" applyFont="1" applyFill="1" applyAlignment="1"/>
    <xf numFmtId="170" fontId="3" fillId="2" borderId="8" xfId="3" applyNumberFormat="1" applyFill="1" applyBorder="1" applyAlignment="1">
      <alignment horizontal="center"/>
    </xf>
    <xf numFmtId="3" fontId="0" fillId="0" borderId="0" xfId="0" applyNumberFormat="1"/>
    <xf numFmtId="9" fontId="4" fillId="2" borderId="1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71" fontId="4" fillId="2" borderId="9" xfId="0" applyNumberFormat="1" applyFont="1" applyFill="1" applyBorder="1" applyAlignment="1">
      <alignment horizontal="center"/>
    </xf>
    <xf numFmtId="9" fontId="4" fillId="2" borderId="9" xfId="0" applyNumberFormat="1" applyFont="1" applyFill="1" applyBorder="1" applyAlignment="1">
      <alignment horizontal="center"/>
    </xf>
    <xf numFmtId="171" fontId="4" fillId="2" borderId="1" xfId="0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vertical="center"/>
    </xf>
    <xf numFmtId="0" fontId="4" fillId="2" borderId="1" xfId="1" applyNumberFormat="1" applyFont="1" applyFill="1" applyBorder="1" applyAlignment="1">
      <alignment horizontal="center"/>
    </xf>
    <xf numFmtId="166" fontId="4" fillId="2" borderId="1" xfId="1" applyNumberFormat="1" applyFont="1" applyFill="1" applyBorder="1" applyAlignment="1">
      <alignment horizontal="center"/>
    </xf>
    <xf numFmtId="0" fontId="10" fillId="7" borderId="4" xfId="1" applyNumberFormat="1" applyFont="1" applyFill="1" applyBorder="1" applyAlignment="1">
      <alignment horizontal="center"/>
    </xf>
    <xf numFmtId="166" fontId="10" fillId="7" borderId="4" xfId="1" applyNumberFormat="1" applyFont="1" applyFill="1" applyBorder="1" applyAlignment="1">
      <alignment horizontal="center"/>
    </xf>
    <xf numFmtId="166" fontId="4" fillId="5" borderId="1" xfId="1" applyNumberFormat="1" applyFont="1" applyFill="1" applyBorder="1" applyAlignment="1">
      <alignment horizontal="center"/>
    </xf>
    <xf numFmtId="37" fontId="4" fillId="2" borderId="0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70" fontId="3" fillId="12" borderId="8" xfId="3" applyNumberFormat="1" applyFill="1" applyBorder="1" applyAlignment="1">
      <alignment horizontal="center"/>
    </xf>
    <xf numFmtId="0" fontId="4" fillId="11" borderId="1" xfId="0" applyFont="1" applyFill="1" applyBorder="1" applyAlignment="1">
      <alignment horizontal="center" wrapText="1"/>
    </xf>
    <xf numFmtId="0" fontId="20" fillId="11" borderId="1" xfId="0" applyFont="1" applyFill="1" applyBorder="1" applyAlignment="1">
      <alignment horizontal="center" wrapText="1"/>
    </xf>
    <xf numFmtId="3" fontId="11" fillId="5" borderId="1" xfId="0" applyNumberFormat="1" applyFont="1" applyFill="1" applyBorder="1" applyAlignment="1">
      <alignment horizontal="center" wrapText="1"/>
    </xf>
    <xf numFmtId="167" fontId="10" fillId="2" borderId="0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vertical="center"/>
    </xf>
    <xf numFmtId="166" fontId="10" fillId="2" borderId="0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 wrapText="1"/>
    </xf>
    <xf numFmtId="10" fontId="4" fillId="2" borderId="8" xfId="0" applyNumberFormat="1" applyFont="1" applyFill="1" applyBorder="1" applyAlignment="1">
      <alignment horizontal="center"/>
    </xf>
    <xf numFmtId="10" fontId="10" fillId="7" borderId="36" xfId="0" applyNumberFormat="1" applyFont="1" applyFill="1" applyBorder="1" applyAlignment="1">
      <alignment horizontal="center"/>
    </xf>
    <xf numFmtId="166" fontId="11" fillId="2" borderId="1" xfId="0" applyNumberFormat="1" applyFont="1" applyFill="1" applyBorder="1" applyAlignment="1">
      <alignment horizontal="center" wrapText="1"/>
    </xf>
    <xf numFmtId="166" fontId="11" fillId="7" borderId="1" xfId="2" applyNumberFormat="1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 vertical="center"/>
    </xf>
    <xf numFmtId="0" fontId="21" fillId="2" borderId="0" xfId="0" applyFont="1" applyFill="1"/>
    <xf numFmtId="0" fontId="4" fillId="4" borderId="1" xfId="0" applyFont="1" applyFill="1" applyBorder="1" applyAlignment="1">
      <alignment horizontal="center" vertical="center"/>
    </xf>
    <xf numFmtId="37" fontId="4" fillId="5" borderId="1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37" fontId="4" fillId="2" borderId="1" xfId="0" applyNumberFormat="1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0" fontId="10" fillId="7" borderId="2" xfId="0" applyFont="1" applyFill="1" applyBorder="1" applyAlignment="1">
      <alignment vertical="center"/>
    </xf>
    <xf numFmtId="37" fontId="10" fillId="7" borderId="4" xfId="0" applyNumberFormat="1" applyFont="1" applyFill="1" applyBorder="1" applyAlignment="1">
      <alignment horizontal="center" vertical="center"/>
    </xf>
    <xf numFmtId="166" fontId="10" fillId="7" borderId="4" xfId="0" applyNumberFormat="1" applyFont="1" applyFill="1" applyBorder="1" applyAlignment="1">
      <alignment horizontal="center" vertical="center"/>
    </xf>
    <xf numFmtId="10" fontId="10" fillId="7" borderId="4" xfId="0" applyNumberFormat="1" applyFont="1" applyFill="1" applyBorder="1" applyAlignment="1">
      <alignment horizontal="center" vertical="center"/>
    </xf>
    <xf numFmtId="166" fontId="10" fillId="7" borderId="4" xfId="2" applyNumberFormat="1" applyFont="1" applyFill="1" applyBorder="1" applyAlignment="1">
      <alignment horizontal="center" vertical="center"/>
    </xf>
    <xf numFmtId="37" fontId="4" fillId="2" borderId="4" xfId="0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  <xf numFmtId="9" fontId="10" fillId="7" borderId="4" xfId="0" applyNumberFormat="1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9" fontId="4" fillId="2" borderId="4" xfId="0" applyNumberFormat="1" applyFont="1" applyFill="1" applyBorder="1" applyAlignment="1">
      <alignment horizontal="center" vertical="center"/>
    </xf>
    <xf numFmtId="37" fontId="4" fillId="5" borderId="4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0" fontId="4" fillId="2" borderId="9" xfId="0" applyNumberFormat="1" applyFont="1" applyFill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170" fontId="3" fillId="2" borderId="9" xfId="3" applyNumberFormat="1" applyFill="1" applyBorder="1" applyAlignment="1">
      <alignment horizontal="center"/>
    </xf>
    <xf numFmtId="171" fontId="4" fillId="2" borderId="9" xfId="1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/>
    </xf>
    <xf numFmtId="168" fontId="5" fillId="2" borderId="0" xfId="0" applyNumberFormat="1" applyFont="1" applyFill="1" applyAlignment="1"/>
    <xf numFmtId="0" fontId="10" fillId="0" borderId="2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vertical="center"/>
    </xf>
    <xf numFmtId="3" fontId="7" fillId="3" borderId="42" xfId="0" applyNumberFormat="1" applyFont="1" applyFill="1" applyBorder="1" applyAlignment="1">
      <alignment horizontal="center" vertical="center"/>
    </xf>
    <xf numFmtId="0" fontId="7" fillId="3" borderId="38" xfId="0" applyFont="1" applyFill="1" applyBorder="1" applyAlignment="1">
      <alignment vertical="center"/>
    </xf>
    <xf numFmtId="0" fontId="12" fillId="0" borderId="43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3" fontId="11" fillId="9" borderId="4" xfId="0" applyNumberFormat="1" applyFont="1" applyFill="1" applyBorder="1" applyAlignment="1">
      <alignment horizontal="center" vertical="center"/>
    </xf>
    <xf numFmtId="3" fontId="11" fillId="0" borderId="4" xfId="0" applyNumberFormat="1" applyFont="1" applyFill="1" applyBorder="1" applyAlignment="1">
      <alignment horizontal="center" vertical="center"/>
    </xf>
    <xf numFmtId="3" fontId="11" fillId="2" borderId="4" xfId="0" applyNumberFormat="1" applyFont="1" applyFill="1" applyBorder="1" applyAlignment="1">
      <alignment horizontal="center" vertical="center"/>
    </xf>
    <xf numFmtId="171" fontId="11" fillId="0" borderId="4" xfId="1" applyNumberFormat="1" applyFont="1" applyFill="1" applyBorder="1" applyAlignment="1">
      <alignment horizontal="center" vertical="center"/>
    </xf>
    <xf numFmtId="166" fontId="11" fillId="0" borderId="4" xfId="2" applyNumberFormat="1" applyFont="1" applyFill="1" applyBorder="1" applyAlignment="1">
      <alignment horizontal="center" vertical="center"/>
    </xf>
    <xf numFmtId="9" fontId="11" fillId="0" borderId="4" xfId="1" applyFont="1" applyFill="1" applyBorder="1" applyAlignment="1">
      <alignment horizontal="center" vertical="center"/>
    </xf>
    <xf numFmtId="9" fontId="11" fillId="0" borderId="4" xfId="1" applyNumberFormat="1" applyFont="1" applyFill="1" applyBorder="1" applyAlignment="1">
      <alignment horizontal="center" vertical="center"/>
    </xf>
    <xf numFmtId="3" fontId="11" fillId="0" borderId="4" xfId="0" applyNumberFormat="1" applyFont="1" applyBorder="1" applyAlignment="1">
      <alignment horizontal="center" vertical="center"/>
    </xf>
    <xf numFmtId="164" fontId="11" fillId="0" borderId="4" xfId="2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 wrapText="1"/>
    </xf>
    <xf numFmtId="3" fontId="11" fillId="5" borderId="32" xfId="0" applyNumberFormat="1" applyFont="1" applyFill="1" applyBorder="1" applyAlignment="1">
      <alignment horizontal="center" vertical="center"/>
    </xf>
    <xf numFmtId="0" fontId="11" fillId="5" borderId="32" xfId="0" applyFont="1" applyFill="1" applyBorder="1" applyAlignment="1">
      <alignment horizontal="center" vertical="center"/>
    </xf>
    <xf numFmtId="3" fontId="11" fillId="9" borderId="32" xfId="0" applyNumberFormat="1" applyFont="1" applyFill="1" applyBorder="1" applyAlignment="1">
      <alignment horizontal="center" vertical="center"/>
    </xf>
    <xf numFmtId="3" fontId="11" fillId="0" borderId="32" xfId="0" applyNumberFormat="1" applyFont="1" applyFill="1" applyBorder="1" applyAlignment="1">
      <alignment horizontal="center" vertical="center"/>
    </xf>
    <xf numFmtId="3" fontId="11" fillId="2" borderId="32" xfId="0" applyNumberFormat="1" applyFont="1" applyFill="1" applyBorder="1" applyAlignment="1">
      <alignment horizontal="center" vertical="center"/>
    </xf>
    <xf numFmtId="9" fontId="11" fillId="0" borderId="32" xfId="1" applyFont="1" applyFill="1" applyBorder="1" applyAlignment="1">
      <alignment horizontal="center" vertical="center"/>
    </xf>
    <xf numFmtId="166" fontId="11" fillId="0" borderId="32" xfId="2" applyNumberFormat="1" applyFont="1" applyFill="1" applyBorder="1" applyAlignment="1">
      <alignment horizontal="center" vertical="center"/>
    </xf>
    <xf numFmtId="9" fontId="11" fillId="0" borderId="32" xfId="1" applyNumberFormat="1" applyFont="1" applyFill="1" applyBorder="1" applyAlignment="1">
      <alignment horizontal="center" vertical="center"/>
    </xf>
    <xf numFmtId="3" fontId="11" fillId="0" borderId="32" xfId="0" applyNumberFormat="1" applyFont="1" applyBorder="1" applyAlignment="1">
      <alignment horizontal="center" vertical="center"/>
    </xf>
    <xf numFmtId="171" fontId="11" fillId="0" borderId="32" xfId="1" applyNumberFormat="1" applyFont="1" applyFill="1" applyBorder="1" applyAlignment="1">
      <alignment horizontal="center" vertical="center"/>
    </xf>
    <xf numFmtId="164" fontId="11" fillId="0" borderId="32" xfId="2" applyFont="1" applyBorder="1" applyAlignment="1">
      <alignment horizontal="center" vertical="center"/>
    </xf>
    <xf numFmtId="164" fontId="11" fillId="0" borderId="32" xfId="2" applyNumberFormat="1" applyFont="1" applyBorder="1" applyAlignment="1">
      <alignment horizontal="center" vertical="center"/>
    </xf>
    <xf numFmtId="9" fontId="11" fillId="0" borderId="32" xfId="1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3" fontId="11" fillId="5" borderId="4" xfId="0" applyNumberFormat="1" applyFont="1" applyFill="1" applyBorder="1" applyAlignment="1">
      <alignment vertical="center"/>
    </xf>
    <xf numFmtId="3" fontId="11" fillId="0" borderId="4" xfId="1" applyNumberFormat="1" applyFont="1" applyFill="1" applyBorder="1" applyAlignment="1">
      <alignment horizontal="center" vertical="center"/>
    </xf>
    <xf numFmtId="166" fontId="5" fillId="0" borderId="4" xfId="0" applyNumberFormat="1" applyFont="1" applyBorder="1" applyAlignment="1">
      <alignment vertical="center"/>
    </xf>
    <xf numFmtId="164" fontId="5" fillId="0" borderId="32" xfId="2" applyFont="1" applyBorder="1" applyAlignment="1">
      <alignment vertical="center"/>
    </xf>
    <xf numFmtId="3" fontId="11" fillId="5" borderId="31" xfId="0" applyNumberFormat="1" applyFont="1" applyFill="1" applyBorder="1" applyAlignment="1">
      <alignment vertical="center"/>
    </xf>
    <xf numFmtId="3" fontId="11" fillId="0" borderId="31" xfId="1" applyNumberFormat="1" applyFont="1" applyFill="1" applyBorder="1" applyAlignment="1">
      <alignment horizontal="center" vertical="center"/>
    </xf>
    <xf numFmtId="166" fontId="5" fillId="0" borderId="31" xfId="0" applyNumberFormat="1" applyFont="1" applyBorder="1" applyAlignment="1">
      <alignment vertical="center"/>
    </xf>
    <xf numFmtId="3" fontId="11" fillId="5" borderId="48" xfId="0" applyNumberFormat="1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3" fontId="11" fillId="2" borderId="48" xfId="0" applyNumberFormat="1" applyFont="1" applyFill="1" applyBorder="1" applyAlignment="1">
      <alignment horizontal="center" vertical="center"/>
    </xf>
    <xf numFmtId="3" fontId="11" fillId="0" borderId="48" xfId="0" applyNumberFormat="1" applyFont="1" applyFill="1" applyBorder="1" applyAlignment="1">
      <alignment horizontal="center" vertical="center"/>
    </xf>
    <xf numFmtId="171" fontId="11" fillId="0" borderId="48" xfId="1" applyNumberFormat="1" applyFont="1" applyFill="1" applyBorder="1" applyAlignment="1">
      <alignment horizontal="center" vertical="center"/>
    </xf>
    <xf numFmtId="166" fontId="11" fillId="0" borderId="48" xfId="2" applyNumberFormat="1" applyFont="1" applyFill="1" applyBorder="1" applyAlignment="1">
      <alignment horizontal="center" vertical="center"/>
    </xf>
    <xf numFmtId="3" fontId="11" fillId="0" borderId="48" xfId="1" applyNumberFormat="1" applyFont="1" applyFill="1" applyBorder="1" applyAlignment="1">
      <alignment horizontal="center" vertical="center"/>
    </xf>
    <xf numFmtId="9" fontId="11" fillId="0" borderId="48" xfId="1" applyFont="1" applyFill="1" applyBorder="1" applyAlignment="1">
      <alignment horizontal="center" vertical="center"/>
    </xf>
    <xf numFmtId="3" fontId="11" fillId="9" borderId="48" xfId="0" applyNumberFormat="1" applyFont="1" applyFill="1" applyBorder="1" applyAlignment="1">
      <alignment horizontal="center" vertical="center"/>
    </xf>
    <xf numFmtId="9" fontId="11" fillId="0" borderId="48" xfId="1" applyNumberFormat="1" applyFont="1" applyFill="1" applyBorder="1" applyAlignment="1">
      <alignment horizontal="center" vertical="center"/>
    </xf>
    <xf numFmtId="3" fontId="11" fillId="0" borderId="48" xfId="0" applyNumberFormat="1" applyFont="1" applyBorder="1" applyAlignment="1">
      <alignment horizontal="center" vertical="center"/>
    </xf>
    <xf numFmtId="164" fontId="11" fillId="0" borderId="48" xfId="2" applyFont="1" applyBorder="1" applyAlignment="1">
      <alignment horizontal="center" vertical="center"/>
    </xf>
    <xf numFmtId="166" fontId="5" fillId="0" borderId="48" xfId="0" applyNumberFormat="1" applyFont="1" applyBorder="1" applyAlignment="1">
      <alignment vertical="center"/>
    </xf>
    <xf numFmtId="9" fontId="11" fillId="0" borderId="48" xfId="1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3" fontId="11" fillId="5" borderId="16" xfId="0" applyNumberFormat="1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3" fontId="11" fillId="9" borderId="16" xfId="0" applyNumberFormat="1" applyFont="1" applyFill="1" applyBorder="1" applyAlignment="1">
      <alignment horizontal="center" vertical="center"/>
    </xf>
    <xf numFmtId="3" fontId="11" fillId="0" borderId="16" xfId="0" applyNumberFormat="1" applyFont="1" applyFill="1" applyBorder="1" applyAlignment="1">
      <alignment horizontal="center" vertical="center"/>
    </xf>
    <xf numFmtId="171" fontId="11" fillId="0" borderId="16" xfId="1" applyNumberFormat="1" applyFont="1" applyFill="1" applyBorder="1" applyAlignment="1">
      <alignment horizontal="center" vertical="center"/>
    </xf>
    <xf numFmtId="166" fontId="11" fillId="0" borderId="16" xfId="2" applyNumberFormat="1" applyFont="1" applyFill="1" applyBorder="1" applyAlignment="1">
      <alignment horizontal="center" vertical="center"/>
    </xf>
    <xf numFmtId="3" fontId="11" fillId="0" borderId="16" xfId="1" applyNumberFormat="1" applyFont="1" applyFill="1" applyBorder="1" applyAlignment="1">
      <alignment horizontal="center" vertical="center"/>
    </xf>
    <xf numFmtId="9" fontId="11" fillId="0" borderId="16" xfId="1" applyNumberFormat="1" applyFont="1" applyFill="1" applyBorder="1" applyAlignment="1">
      <alignment horizontal="center" vertical="center"/>
    </xf>
    <xf numFmtId="3" fontId="11" fillId="2" borderId="16" xfId="0" applyNumberFormat="1" applyFont="1" applyFill="1" applyBorder="1" applyAlignment="1">
      <alignment horizontal="center" vertical="center"/>
    </xf>
    <xf numFmtId="164" fontId="11" fillId="0" borderId="16" xfId="2" applyFont="1" applyBorder="1" applyAlignment="1">
      <alignment horizontal="center" vertical="center"/>
    </xf>
    <xf numFmtId="166" fontId="5" fillId="0" borderId="16" xfId="0" applyNumberFormat="1" applyFont="1" applyBorder="1" applyAlignment="1">
      <alignment vertical="center"/>
    </xf>
    <xf numFmtId="0" fontId="22" fillId="0" borderId="35" xfId="0" applyFont="1" applyBorder="1" applyAlignment="1">
      <alignment horizontal="center" vertical="center"/>
    </xf>
    <xf numFmtId="3" fontId="11" fillId="0" borderId="32" xfId="1" applyNumberFormat="1" applyFont="1" applyFill="1" applyBorder="1" applyAlignment="1">
      <alignment horizontal="center" vertical="center"/>
    </xf>
    <xf numFmtId="166" fontId="5" fillId="0" borderId="32" xfId="0" applyNumberFormat="1" applyFont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3" fontId="11" fillId="0" borderId="16" xfId="0" applyNumberFormat="1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168" fontId="4" fillId="2" borderId="0" xfId="0" applyNumberFormat="1" applyFont="1" applyFill="1" applyBorder="1"/>
    <xf numFmtId="168" fontId="4" fillId="2" borderId="0" xfId="0" applyNumberFormat="1" applyFont="1" applyFill="1"/>
    <xf numFmtId="164" fontId="4" fillId="2" borderId="1" xfId="0" applyNumberFormat="1" applyFont="1" applyFill="1" applyBorder="1" applyAlignment="1">
      <alignment horizontal="center"/>
    </xf>
    <xf numFmtId="3" fontId="4" fillId="2" borderId="0" xfId="0" applyNumberFormat="1" applyFont="1" applyFill="1" applyBorder="1" applyAlignment="1">
      <alignment horizontal="center"/>
    </xf>
    <xf numFmtId="9" fontId="11" fillId="0" borderId="16" xfId="1" applyFont="1" applyBorder="1" applyAlignment="1">
      <alignment horizontal="center" vertical="center"/>
    </xf>
    <xf numFmtId="9" fontId="11" fillId="0" borderId="4" xfId="1" applyFont="1" applyBorder="1" applyAlignment="1">
      <alignment horizontal="center" vertical="center"/>
    </xf>
    <xf numFmtId="164" fontId="11" fillId="0" borderId="16" xfId="2" applyNumberFormat="1" applyFont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 wrapText="1"/>
    </xf>
    <xf numFmtId="0" fontId="10" fillId="0" borderId="46" xfId="0" applyFont="1" applyFill="1" applyBorder="1" applyAlignment="1">
      <alignment horizontal="center" vertical="center" wrapText="1"/>
    </xf>
    <xf numFmtId="164" fontId="11" fillId="0" borderId="25" xfId="2" applyNumberFormat="1" applyFont="1" applyBorder="1" applyAlignment="1">
      <alignment horizontal="center" vertical="center"/>
    </xf>
    <xf numFmtId="164" fontId="11" fillId="0" borderId="49" xfId="2" applyNumberFormat="1" applyFont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 wrapText="1"/>
    </xf>
    <xf numFmtId="0" fontId="10" fillId="0" borderId="37" xfId="0" applyFont="1" applyFill="1" applyBorder="1" applyAlignment="1">
      <alignment horizontal="center" vertical="center" wrapText="1"/>
    </xf>
    <xf numFmtId="164" fontId="11" fillId="0" borderId="16" xfId="2" applyNumberFormat="1" applyFont="1" applyBorder="1" applyAlignment="1">
      <alignment horizontal="center" vertical="center"/>
    </xf>
    <xf numFmtId="164" fontId="11" fillId="0" borderId="4" xfId="2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9" fontId="11" fillId="0" borderId="25" xfId="1" applyFont="1" applyBorder="1" applyAlignment="1">
      <alignment horizontal="center" vertical="center"/>
    </xf>
    <xf numFmtId="9" fontId="11" fillId="0" borderId="49" xfId="1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9" fontId="11" fillId="0" borderId="16" xfId="1" applyFont="1" applyBorder="1" applyAlignment="1">
      <alignment horizontal="center" vertical="center"/>
    </xf>
    <xf numFmtId="9" fontId="11" fillId="0" borderId="4" xfId="1" applyFont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70" fontId="8" fillId="2" borderId="1" xfId="3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 vertical="center"/>
    </xf>
    <xf numFmtId="170" fontId="8" fillId="2" borderId="1" xfId="3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170" fontId="8" fillId="2" borderId="9" xfId="3" applyNumberFormat="1" applyFont="1" applyFill="1" applyBorder="1" applyAlignment="1">
      <alignment horizontal="center" vertical="center"/>
    </xf>
    <xf numFmtId="170" fontId="8" fillId="2" borderId="4" xfId="3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/>
    </xf>
    <xf numFmtId="0" fontId="10" fillId="7" borderId="17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9" fillId="14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center" wrapText="1"/>
    </xf>
    <xf numFmtId="0" fontId="7" fillId="13" borderId="7" xfId="0" applyFont="1" applyFill="1" applyBorder="1" applyAlignment="1">
      <alignment horizontal="center" vertical="center"/>
    </xf>
    <xf numFmtId="0" fontId="7" fillId="13" borderId="37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</cellXfs>
  <cellStyles count="5">
    <cellStyle name="Currency" xfId="2" builtinId="4"/>
    <cellStyle name="Hyperlink" xfId="3" builtinId="8"/>
    <cellStyle name="Neutral" xfId="4" builtinId="28"/>
    <cellStyle name="Normal" xfId="0" builtinId="0"/>
    <cellStyle name="Percent" xfId="1" builtinId="5"/>
  </cellStyles>
  <dxfs count="8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709083</xdr:colOff>
      <xdr:row>1</xdr:row>
      <xdr:rowOff>164041</xdr:rowOff>
    </xdr:from>
    <xdr:to>
      <xdr:col>21</xdr:col>
      <xdr:colOff>19843</xdr:colOff>
      <xdr:row>5</xdr:row>
      <xdr:rowOff>105833</xdr:rowOff>
    </xdr:to>
    <xdr:pic>
      <xdr:nvPicPr>
        <xdr:cNvPr id="4" name="Picture 3" descr="Image result for zespri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53483" y="341841"/>
          <a:ext cx="882650" cy="652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316442</xdr:colOff>
      <xdr:row>0</xdr:row>
      <xdr:rowOff>173566</xdr:rowOff>
    </xdr:from>
    <xdr:to>
      <xdr:col>22</xdr:col>
      <xdr:colOff>547159</xdr:colOff>
      <xdr:row>6</xdr:row>
      <xdr:rowOff>21167</xdr:rowOff>
    </xdr:to>
    <xdr:pic>
      <xdr:nvPicPr>
        <xdr:cNvPr id="6" name="Picture 5" descr="Image result for starcom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73566"/>
          <a:ext cx="874183" cy="914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169334</xdr:colOff>
      <xdr:row>0</xdr:row>
      <xdr:rowOff>190500</xdr:rowOff>
    </xdr:from>
    <xdr:to>
      <xdr:col>25</xdr:col>
      <xdr:colOff>8376</xdr:colOff>
      <xdr:row>3</xdr:row>
      <xdr:rowOff>177727</xdr:rowOff>
    </xdr:to>
    <xdr:pic>
      <xdr:nvPicPr>
        <xdr:cNvPr id="3" name="Picture 2" descr="https://upload.wikimedia.org/wikipedia/commons/3/32/Facebooklogo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890751" y="190500"/>
          <a:ext cx="1426542" cy="59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179916</xdr:colOff>
      <xdr:row>0</xdr:row>
      <xdr:rowOff>148166</xdr:rowOff>
    </xdr:from>
    <xdr:to>
      <xdr:col>25</xdr:col>
      <xdr:colOff>18959</xdr:colOff>
      <xdr:row>3</xdr:row>
      <xdr:rowOff>135393</xdr:rowOff>
    </xdr:to>
    <xdr:pic>
      <xdr:nvPicPr>
        <xdr:cNvPr id="3" name="Picture 2" descr="https://upload.wikimedia.org/wikipedia/commons/3/32/Facebooklogo.png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74333" y="148166"/>
          <a:ext cx="1426542" cy="59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63499</xdr:colOff>
      <xdr:row>1</xdr:row>
      <xdr:rowOff>42333</xdr:rowOff>
    </xdr:from>
    <xdr:to>
      <xdr:col>25</xdr:col>
      <xdr:colOff>706874</xdr:colOff>
      <xdr:row>4</xdr:row>
      <xdr:rowOff>50726</xdr:rowOff>
    </xdr:to>
    <xdr:pic>
      <xdr:nvPicPr>
        <xdr:cNvPr id="4" name="Picture 3" descr="https://upload.wikimedia.org/wikipedia/commons/3/32/Facebooklogo.png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869582" y="243416"/>
          <a:ext cx="1426542" cy="59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0</xdr:row>
      <xdr:rowOff>179916</xdr:rowOff>
    </xdr:from>
    <xdr:to>
      <xdr:col>25</xdr:col>
      <xdr:colOff>643374</xdr:colOff>
      <xdr:row>3</xdr:row>
      <xdr:rowOff>167143</xdr:rowOff>
    </xdr:to>
    <xdr:pic>
      <xdr:nvPicPr>
        <xdr:cNvPr id="3" name="Picture 2" descr="https://upload.wikimedia.org/wikipedia/commons/3/32/Facebooklogo.png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859000" y="179916"/>
          <a:ext cx="1426542" cy="59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84667</xdr:colOff>
      <xdr:row>0</xdr:row>
      <xdr:rowOff>148166</xdr:rowOff>
    </xdr:from>
    <xdr:to>
      <xdr:col>26</xdr:col>
      <xdr:colOff>8375</xdr:colOff>
      <xdr:row>3</xdr:row>
      <xdr:rowOff>135393</xdr:rowOff>
    </xdr:to>
    <xdr:pic>
      <xdr:nvPicPr>
        <xdr:cNvPr id="3" name="Picture 2" descr="https://upload.wikimedia.org/wikipedia/commons/3/32/Facebooklogo.pn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53167" y="148166"/>
          <a:ext cx="1426542" cy="59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84667</xdr:colOff>
      <xdr:row>0</xdr:row>
      <xdr:rowOff>148166</xdr:rowOff>
    </xdr:from>
    <xdr:to>
      <xdr:col>26</xdr:col>
      <xdr:colOff>8375</xdr:colOff>
      <xdr:row>3</xdr:row>
      <xdr:rowOff>135393</xdr:rowOff>
    </xdr:to>
    <xdr:pic>
      <xdr:nvPicPr>
        <xdr:cNvPr id="2" name="Picture 1" descr="https://upload.wikimedia.org/wikipedia/commons/3/32/Facebooklogo.png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476942" y="148166"/>
          <a:ext cx="1428659" cy="587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W25"/>
  <sheetViews>
    <sheetView showGridLines="0" zoomScale="70" zoomScaleNormal="70" workbookViewId="0">
      <selection activeCell="K25" sqref="K25"/>
    </sheetView>
  </sheetViews>
  <sheetFormatPr defaultColWidth="9.28515625" defaultRowHeight="12.75" x14ac:dyDescent="0.2"/>
  <cols>
    <col min="1" max="1" width="3.7109375" style="115" customWidth="1"/>
    <col min="2" max="2" width="9.28515625" style="115" customWidth="1"/>
    <col min="3" max="3" width="29.7109375" style="115" customWidth="1"/>
    <col min="4" max="4" width="10.5703125" style="115" customWidth="1"/>
    <col min="5" max="5" width="6.28515625" style="115" customWidth="1"/>
    <col min="6" max="7" width="12.28515625" style="115" customWidth="1"/>
    <col min="8" max="8" width="11" style="115" customWidth="1"/>
    <col min="9" max="9" width="7.7109375" style="115" customWidth="1"/>
    <col min="10" max="10" width="8.7109375" style="115" customWidth="1"/>
    <col min="11" max="11" width="12" style="115" customWidth="1"/>
    <col min="12" max="12" width="9.7109375" style="115" customWidth="1"/>
    <col min="13" max="13" width="10.42578125" style="115" customWidth="1"/>
    <col min="14" max="14" width="9.28515625" style="115" customWidth="1"/>
    <col min="15" max="15" width="12" style="115" customWidth="1"/>
    <col min="16" max="17" width="7.7109375" style="115" customWidth="1"/>
    <col min="18" max="18" width="14" style="115" customWidth="1"/>
    <col min="19" max="19" width="14.7109375" style="115" customWidth="1"/>
    <col min="20" max="20" width="13.5703125" style="115" customWidth="1"/>
    <col min="21" max="22" width="9.28515625" style="115" bestFit="1" customWidth="1"/>
    <col min="23" max="23" width="11.28515625" style="115" customWidth="1"/>
    <col min="24" max="16384" width="9.28515625" style="115"/>
  </cols>
  <sheetData>
    <row r="2" spans="2:23" x14ac:dyDescent="0.2">
      <c r="C2" s="103" t="s">
        <v>0</v>
      </c>
      <c r="D2" s="104" t="s">
        <v>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</row>
    <row r="3" spans="2:23" x14ac:dyDescent="0.2">
      <c r="C3" s="103" t="s">
        <v>2</v>
      </c>
      <c r="D3" s="114" t="s">
        <v>3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</row>
    <row r="4" spans="2:23" x14ac:dyDescent="0.2">
      <c r="C4" s="106" t="s">
        <v>4</v>
      </c>
      <c r="D4" s="107">
        <v>43482</v>
      </c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</row>
    <row r="5" spans="2:23" x14ac:dyDescent="0.2">
      <c r="C5" s="106"/>
      <c r="D5" s="107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</row>
    <row r="6" spans="2:23" x14ac:dyDescent="0.2">
      <c r="C6" s="106"/>
      <c r="D6" s="107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</row>
    <row r="7" spans="2:23" ht="12.75" customHeight="1" thickBot="1" x14ac:dyDescent="0.25"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</row>
    <row r="8" spans="2:23" ht="27.6" customHeight="1" x14ac:dyDescent="0.2">
      <c r="B8" s="315" t="s">
        <v>5</v>
      </c>
      <c r="C8" s="329" t="s">
        <v>5</v>
      </c>
      <c r="D8" s="325" t="s">
        <v>6</v>
      </c>
      <c r="E8" s="326"/>
      <c r="F8" s="331" t="s">
        <v>7</v>
      </c>
      <c r="G8" s="332"/>
      <c r="H8" s="332"/>
      <c r="I8" s="332"/>
      <c r="J8" s="332"/>
      <c r="K8" s="332"/>
      <c r="L8" s="332"/>
      <c r="M8" s="332"/>
      <c r="N8" s="333"/>
      <c r="O8" s="331" t="s">
        <v>8</v>
      </c>
      <c r="P8" s="332"/>
      <c r="Q8" s="333"/>
      <c r="R8" s="331" t="s">
        <v>9</v>
      </c>
      <c r="S8" s="332"/>
      <c r="T8" s="333"/>
      <c r="U8" s="338" t="s">
        <v>10</v>
      </c>
      <c r="V8" s="338" t="s">
        <v>11</v>
      </c>
      <c r="W8" s="340" t="s">
        <v>12</v>
      </c>
    </row>
    <row r="9" spans="2:23" ht="26.25" thickBot="1" x14ac:dyDescent="0.25">
      <c r="B9" s="316"/>
      <c r="C9" s="330"/>
      <c r="D9" s="327"/>
      <c r="E9" s="328"/>
      <c r="F9" s="203" t="s">
        <v>13</v>
      </c>
      <c r="G9" s="148" t="s">
        <v>14</v>
      </c>
      <c r="H9" s="122" t="s">
        <v>15</v>
      </c>
      <c r="I9" s="122" t="s">
        <v>16</v>
      </c>
      <c r="J9" s="122" t="s">
        <v>17</v>
      </c>
      <c r="K9" s="123" t="s">
        <v>18</v>
      </c>
      <c r="L9" s="122" t="s">
        <v>19</v>
      </c>
      <c r="M9" s="122" t="s">
        <v>20</v>
      </c>
      <c r="N9" s="123" t="s">
        <v>21</v>
      </c>
      <c r="O9" s="122" t="s">
        <v>22</v>
      </c>
      <c r="P9" s="122" t="s">
        <v>23</v>
      </c>
      <c r="Q9" s="122" t="s">
        <v>24</v>
      </c>
      <c r="R9" s="124" t="s">
        <v>25</v>
      </c>
      <c r="S9" s="122" t="s">
        <v>26</v>
      </c>
      <c r="T9" s="122" t="s">
        <v>27</v>
      </c>
      <c r="U9" s="339"/>
      <c r="V9" s="339"/>
      <c r="W9" s="341"/>
    </row>
    <row r="10" spans="2:23" ht="24" customHeight="1" thickBot="1" x14ac:dyDescent="0.25">
      <c r="B10" s="250" t="s">
        <v>28</v>
      </c>
      <c r="C10" s="251" t="s">
        <v>29</v>
      </c>
      <c r="D10" s="252">
        <f>ID!T10</f>
        <v>12886557.739423696</v>
      </c>
      <c r="E10" s="253" t="s">
        <v>13</v>
      </c>
      <c r="F10" s="254">
        <f>ID!F56</f>
        <v>39467814</v>
      </c>
      <c r="G10" s="255">
        <f>ID!E56</f>
        <v>29468442</v>
      </c>
      <c r="H10" s="256">
        <f>ID!U56</f>
        <v>335971</v>
      </c>
      <c r="I10" s="257">
        <f>IFERROR(H10/F10,0)</f>
        <v>8.5125312488804165E-3</v>
      </c>
      <c r="J10" s="258">
        <f t="shared" ref="J10:J18" si="0">IFERROR((R10/F10)*1000,0)</f>
        <v>0.58642788336339113</v>
      </c>
      <c r="K10" s="255">
        <f>ID!D56</f>
        <v>505398</v>
      </c>
      <c r="L10" s="257">
        <f>ID!G56</f>
        <v>1.2776627854087478E-2</v>
      </c>
      <c r="M10" s="255">
        <f>ID!H56</f>
        <v>358181</v>
      </c>
      <c r="N10" s="259">
        <f>IFERROR(M10/F10,0)</f>
        <v>9.0752682679613311E-3</v>
      </c>
      <c r="O10" s="260">
        <f>ID!J56</f>
        <v>176750</v>
      </c>
      <c r="P10" s="261">
        <f>IFERROR(O10/F10,0)</f>
        <v>4.4783326484714864E-3</v>
      </c>
      <c r="Q10" s="262">
        <f>IFERROR(R10/O10,0)</f>
        <v>0.13094781683168327</v>
      </c>
      <c r="R10" s="263">
        <f>ID!W56</f>
        <v>23145.026625000017</v>
      </c>
      <c r="S10" s="263">
        <f>ID!W10</f>
        <v>28350</v>
      </c>
      <c r="T10" s="263">
        <f>S10-R10</f>
        <v>5204.9733749999832</v>
      </c>
      <c r="U10" s="264">
        <f t="shared" ref="U10:U20" si="1">F10/D10</f>
        <v>3.0627119202870272</v>
      </c>
      <c r="V10" s="264">
        <f>R10/S10</f>
        <v>0.81640305555555615</v>
      </c>
      <c r="W10" s="265" t="s">
        <v>30</v>
      </c>
    </row>
    <row r="11" spans="2:23" ht="24" customHeight="1" thickBot="1" x14ac:dyDescent="0.25">
      <c r="B11" s="250" t="s">
        <v>31</v>
      </c>
      <c r="C11" s="251" t="s">
        <v>29</v>
      </c>
      <c r="D11" s="252">
        <f>MY!T6+MY!T9+MY!T12</f>
        <v>8361860.4651162792</v>
      </c>
      <c r="E11" s="253" t="s">
        <v>13</v>
      </c>
      <c r="F11" s="254">
        <f>MY!F50</f>
        <v>23098015</v>
      </c>
      <c r="G11" s="255">
        <f>MY!E50</f>
        <v>14864981</v>
      </c>
      <c r="H11" s="256">
        <f>MY!U50</f>
        <v>58299</v>
      </c>
      <c r="I11" s="261">
        <f t="shared" ref="I11:I18" si="2">IFERROR(H11/F11,0)</f>
        <v>2.5239831214933406E-3</v>
      </c>
      <c r="J11" s="258">
        <f t="shared" si="0"/>
        <v>0.85360937400897874</v>
      </c>
      <c r="K11" s="255">
        <f>MY!D50</f>
        <v>136463</v>
      </c>
      <c r="L11" s="257">
        <f>MY!G50</f>
        <v>6.0470636417627489E-3</v>
      </c>
      <c r="M11" s="255">
        <f>MY!H50</f>
        <v>122984</v>
      </c>
      <c r="N11" s="259">
        <f t="shared" ref="N11:N20" si="3">IFERROR(M11/F11,0)</f>
        <v>5.3244402170489541E-3</v>
      </c>
      <c r="O11" s="260">
        <f>MY!J50</f>
        <v>41474</v>
      </c>
      <c r="P11" s="261">
        <f t="shared" ref="P11:P17" si="4">IFERROR(O11/F11,0)</f>
        <v>1.7955655496803514E-3</v>
      </c>
      <c r="Q11" s="262">
        <f>IFERROR(R11/O11,0)</f>
        <v>0.47539861419202389</v>
      </c>
      <c r="R11" s="263">
        <f>1.41*(MY!X6+MY!X9+MY!X12)</f>
        <v>19716.682124999999</v>
      </c>
      <c r="S11" s="269">
        <f>1.41*MY!D8</f>
        <v>27117.119999999999</v>
      </c>
      <c r="T11" s="263">
        <f t="shared" ref="T11:T20" si="5">S11-R11</f>
        <v>7400.4378749999996</v>
      </c>
      <c r="U11" s="264">
        <f t="shared" si="1"/>
        <v>2.7623057208810766</v>
      </c>
      <c r="V11" s="264">
        <f>R11/S11</f>
        <v>0.72709351601497507</v>
      </c>
      <c r="W11" s="265" t="s">
        <v>30</v>
      </c>
    </row>
    <row r="12" spans="2:23" ht="24" customHeight="1" x14ac:dyDescent="0.2">
      <c r="B12" s="239" t="s">
        <v>32</v>
      </c>
      <c r="C12" s="321" t="s">
        <v>29</v>
      </c>
      <c r="D12" s="266">
        <f>SG!U7+SG!U10</f>
        <v>5869622.4819527864</v>
      </c>
      <c r="E12" s="240" t="s">
        <v>13</v>
      </c>
      <c r="F12" s="241">
        <f>SG!G67</f>
        <v>5473387</v>
      </c>
      <c r="G12" s="242">
        <f>SG!F67</f>
        <v>5267123</v>
      </c>
      <c r="H12" s="242">
        <f>SG!V67</f>
        <v>15489</v>
      </c>
      <c r="I12" s="244">
        <f t="shared" si="2"/>
        <v>2.829874810606303E-3</v>
      </c>
      <c r="J12" s="245">
        <f>IFERROR((R12/F12)*1000,0)</f>
        <v>3.9818555220012759</v>
      </c>
      <c r="K12" s="267">
        <f>SG!E67</f>
        <v>97584</v>
      </c>
      <c r="L12" s="246">
        <f>SG!H67</f>
        <v>2.1016508097515207E-2</v>
      </c>
      <c r="M12" s="243">
        <f>SG!I67</f>
        <v>93197</v>
      </c>
      <c r="N12" s="247">
        <f t="shared" si="3"/>
        <v>1.7027299549620737E-2</v>
      </c>
      <c r="O12" s="248">
        <f>SG!K67</f>
        <v>48646</v>
      </c>
      <c r="P12" s="247">
        <f t="shared" si="4"/>
        <v>8.8877325867876694E-3</v>
      </c>
      <c r="Q12" s="249">
        <f t="shared" ref="Q12:Q17" si="6">IFERROR(R12/O12,0)</f>
        <v>0.44801702606586352</v>
      </c>
      <c r="R12" s="268">
        <f>SG!X67</f>
        <v>21794.236249999998</v>
      </c>
      <c r="S12" s="323">
        <f>SG!D8</f>
        <v>63184.7</v>
      </c>
      <c r="T12" s="323">
        <f>S12-R12-R13</f>
        <v>25096.783124999994</v>
      </c>
      <c r="U12" s="310">
        <f>F12/D12</f>
        <v>0.93249387278805684</v>
      </c>
      <c r="V12" s="344">
        <f>(R12+R13)/S12</f>
        <v>0.60280284428033992</v>
      </c>
      <c r="W12" s="342" t="s">
        <v>30</v>
      </c>
    </row>
    <row r="13" spans="2:23" ht="24" customHeight="1" x14ac:dyDescent="0.2">
      <c r="B13" s="237" t="s">
        <v>32</v>
      </c>
      <c r="C13" s="322"/>
      <c r="D13" s="40">
        <f>SG!U12</f>
        <v>235016.57142857145</v>
      </c>
      <c r="E13" s="108" t="s">
        <v>20</v>
      </c>
      <c r="F13" s="93">
        <f>SG!G90</f>
        <v>2292414</v>
      </c>
      <c r="G13" s="109">
        <f>SG!F90</f>
        <v>1216408</v>
      </c>
      <c r="H13" s="109">
        <f>SG!V90</f>
        <v>13834</v>
      </c>
      <c r="I13" s="111">
        <f t="shared" si="2"/>
        <v>6.0346865793002484E-3</v>
      </c>
      <c r="J13" s="125">
        <f>IFERROR((R13/F13),0)</f>
        <v>7.1076518573870168E-3</v>
      </c>
      <c r="K13" s="117">
        <f>SG!E90</f>
        <v>399792</v>
      </c>
      <c r="L13" s="110">
        <f>SG!H68</f>
        <v>0</v>
      </c>
      <c r="M13" s="161">
        <f>SG!I90</f>
        <v>398398</v>
      </c>
      <c r="N13" s="116">
        <f t="shared" si="3"/>
        <v>0.17378972559057831</v>
      </c>
      <c r="O13" s="39">
        <f>SG!K72</f>
        <v>4874</v>
      </c>
      <c r="P13" s="116">
        <f t="shared" si="4"/>
        <v>2.1261430090725323E-3</v>
      </c>
      <c r="Q13" s="112">
        <f t="shared" si="6"/>
        <v>3.3429792008617154</v>
      </c>
      <c r="R13" s="118">
        <f>SG!X90</f>
        <v>16293.680625000001</v>
      </c>
      <c r="S13" s="324"/>
      <c r="T13" s="324"/>
      <c r="U13" s="41">
        <f>M13/D13</f>
        <v>1.6951910989863328</v>
      </c>
      <c r="V13" s="345"/>
      <c r="W13" s="343"/>
    </row>
    <row r="14" spans="2:23" ht="24" customHeight="1" x14ac:dyDescent="0.2">
      <c r="B14" s="237" t="s">
        <v>32</v>
      </c>
      <c r="C14" s="232" t="s">
        <v>33</v>
      </c>
      <c r="D14" s="40">
        <f>SG!U15</f>
        <v>1875000</v>
      </c>
      <c r="E14" s="108" t="s">
        <v>13</v>
      </c>
      <c r="F14" s="119">
        <f>SG!E110</f>
        <v>2233935</v>
      </c>
      <c r="G14" s="109" t="s">
        <v>34</v>
      </c>
      <c r="H14" s="109">
        <f>SG!G110</f>
        <v>3454</v>
      </c>
      <c r="I14" s="111">
        <f t="shared" si="2"/>
        <v>1.5461506265849274E-3</v>
      </c>
      <c r="J14" s="125">
        <f t="shared" ref="J14:J16" si="7">IFERROR((R14/F14),0)</f>
        <v>4.0000000000000001E-3</v>
      </c>
      <c r="K14" s="117" t="s">
        <v>34</v>
      </c>
      <c r="L14" s="110" t="s">
        <v>34</v>
      </c>
      <c r="M14" s="39" t="s">
        <v>34</v>
      </c>
      <c r="N14" s="116" t="s">
        <v>34</v>
      </c>
      <c r="O14" s="39" t="s">
        <v>34</v>
      </c>
      <c r="P14" s="116" t="s">
        <v>34</v>
      </c>
      <c r="Q14" s="112" t="s">
        <v>34</v>
      </c>
      <c r="R14" s="118">
        <f>SG!J110</f>
        <v>8935.74</v>
      </c>
      <c r="S14" s="113">
        <f>SG!I110</f>
        <v>7500</v>
      </c>
      <c r="T14" s="113">
        <f t="shared" si="5"/>
        <v>-1435.7399999999998</v>
      </c>
      <c r="U14" s="41">
        <f>F14/D14</f>
        <v>1.191432</v>
      </c>
      <c r="V14" s="41">
        <f t="shared" ref="V14" si="8">R14/S14</f>
        <v>1.191432</v>
      </c>
      <c r="W14" s="225" t="s">
        <v>35</v>
      </c>
    </row>
    <row r="15" spans="2:23" ht="24" customHeight="1" x14ac:dyDescent="0.2">
      <c r="B15" s="237" t="s">
        <v>32</v>
      </c>
      <c r="C15" s="232" t="s">
        <v>36</v>
      </c>
      <c r="D15" s="40">
        <f>SG!U17</f>
        <v>62500</v>
      </c>
      <c r="E15" s="108" t="s">
        <v>20</v>
      </c>
      <c r="F15" s="93">
        <f>SG!E115</f>
        <v>154671</v>
      </c>
      <c r="G15" s="109" t="s">
        <v>34</v>
      </c>
      <c r="H15" s="109">
        <f>SG!I115</f>
        <v>2164</v>
      </c>
      <c r="I15" s="111">
        <f t="shared" si="2"/>
        <v>1.3990987321475907E-2</v>
      </c>
      <c r="J15" s="125">
        <f t="shared" si="7"/>
        <v>1.8893522379760913E-2</v>
      </c>
      <c r="K15" s="117" t="s">
        <v>34</v>
      </c>
      <c r="L15" s="110" t="s">
        <v>34</v>
      </c>
      <c r="M15" s="161">
        <f>SG!F115</f>
        <v>73057</v>
      </c>
      <c r="N15" s="116">
        <f t="shared" si="3"/>
        <v>0.4723380594940228</v>
      </c>
      <c r="O15" s="39">
        <f>M15</f>
        <v>73057</v>
      </c>
      <c r="P15" s="116">
        <f t="shared" si="4"/>
        <v>0.4723380594940228</v>
      </c>
      <c r="Q15" s="112">
        <f t="shared" si="6"/>
        <v>0.04</v>
      </c>
      <c r="R15" s="118">
        <f>SG!L115</f>
        <v>2922.28</v>
      </c>
      <c r="S15" s="113">
        <f>SG!K115</f>
        <v>2500</v>
      </c>
      <c r="T15" s="113">
        <f t="shared" si="5"/>
        <v>-422.2800000000002</v>
      </c>
      <c r="U15" s="41">
        <f>M15/D15</f>
        <v>1.168912</v>
      </c>
      <c r="V15" s="41">
        <f t="shared" ref="V15" si="9">R15/S15</f>
        <v>1.1689120000000002</v>
      </c>
      <c r="W15" s="225" t="s">
        <v>35</v>
      </c>
    </row>
    <row r="16" spans="2:23" ht="24" customHeight="1" thickBot="1" x14ac:dyDescent="0.25">
      <c r="B16" s="302" t="s">
        <v>32</v>
      </c>
      <c r="C16" s="312" t="s">
        <v>37</v>
      </c>
      <c r="D16" s="288">
        <f>SG!U20</f>
        <v>628571</v>
      </c>
      <c r="E16" s="289" t="s">
        <v>20</v>
      </c>
      <c r="F16" s="296">
        <f>SG!E130</f>
        <v>1111412</v>
      </c>
      <c r="G16" s="291" t="s">
        <v>34</v>
      </c>
      <c r="H16" s="291">
        <f>SG!M130</f>
        <v>3741</v>
      </c>
      <c r="I16" s="111">
        <f t="shared" si="2"/>
        <v>3.3659884903168222E-3</v>
      </c>
      <c r="J16" s="125">
        <f t="shared" si="7"/>
        <v>3.7072318816064612E-2</v>
      </c>
      <c r="K16" s="117" t="s">
        <v>34</v>
      </c>
      <c r="L16" s="110" t="s">
        <v>34</v>
      </c>
      <c r="M16" s="161">
        <f>SG!F130</f>
        <v>638445</v>
      </c>
      <c r="N16" s="116">
        <f t="shared" si="3"/>
        <v>0.57444494031016402</v>
      </c>
      <c r="O16" s="303">
        <f>M16</f>
        <v>638445</v>
      </c>
      <c r="P16" s="116">
        <f t="shared" si="4"/>
        <v>0.57444494031016402</v>
      </c>
      <c r="Q16" s="112">
        <f t="shared" si="6"/>
        <v>6.4535895809349278E-2</v>
      </c>
      <c r="R16" s="298">
        <f>SG!P130</f>
        <v>41202.620000000003</v>
      </c>
      <c r="S16" s="311">
        <f>SG!O130</f>
        <v>39000</v>
      </c>
      <c r="T16" s="113">
        <f t="shared" si="5"/>
        <v>-2202.6200000000026</v>
      </c>
      <c r="U16" s="41">
        <f>M16/D16</f>
        <v>1.0157086470740775</v>
      </c>
      <c r="V16" s="41">
        <f t="shared" ref="V16" si="10">R16/S16</f>
        <v>1.056477435897436</v>
      </c>
      <c r="W16" s="304" t="s">
        <v>35</v>
      </c>
    </row>
    <row r="17" spans="2:23" ht="24" customHeight="1" x14ac:dyDescent="0.2">
      <c r="B17" s="236" t="s">
        <v>38</v>
      </c>
      <c r="C17" s="317" t="s">
        <v>29</v>
      </c>
      <c r="D17" s="270">
        <f>TH!U7+TH!U10</f>
        <v>13016684.851791238</v>
      </c>
      <c r="E17" s="126" t="s">
        <v>13</v>
      </c>
      <c r="F17" s="127">
        <f>TH!G58</f>
        <v>17176870</v>
      </c>
      <c r="G17" s="131">
        <f>TH!F58</f>
        <v>10981258</v>
      </c>
      <c r="H17" s="131">
        <f>TH!V58</f>
        <v>63204</v>
      </c>
      <c r="I17" s="134">
        <f t="shared" si="2"/>
        <v>3.6795993682201705E-3</v>
      </c>
      <c r="J17" s="130">
        <f t="shared" si="0"/>
        <v>1.0506345306217022</v>
      </c>
      <c r="K17" s="271">
        <f>TH!E58</f>
        <v>297991</v>
      </c>
      <c r="L17" s="129" t="e">
        <f>TH!H58</f>
        <v>#DIV/0!</v>
      </c>
      <c r="M17" s="128">
        <f>TH!I58</f>
        <v>279553</v>
      </c>
      <c r="N17" s="132">
        <f t="shared" si="3"/>
        <v>1.6274967441681751E-2</v>
      </c>
      <c r="O17" s="133">
        <f>TH!I58</f>
        <v>279553</v>
      </c>
      <c r="P17" s="132">
        <f t="shared" si="4"/>
        <v>1.6274967441681751E-2</v>
      </c>
      <c r="Q17" s="135">
        <f t="shared" si="6"/>
        <v>6.45552462323781E-2</v>
      </c>
      <c r="R17" s="272">
        <f>TH!X58</f>
        <v>18046.612749999997</v>
      </c>
      <c r="S17" s="319">
        <f>TH!D8</f>
        <v>28631.5</v>
      </c>
      <c r="T17" s="319">
        <f>S17-R17-R18</f>
        <v>7623.9225000000033</v>
      </c>
      <c r="U17" s="136">
        <f t="shared" si="1"/>
        <v>1.3196040463126273</v>
      </c>
      <c r="V17" s="334">
        <f>(R17+R18)/S17</f>
        <v>0.73372256081588449</v>
      </c>
      <c r="W17" s="336" t="s">
        <v>30</v>
      </c>
    </row>
    <row r="18" spans="2:23" ht="24" customHeight="1" thickBot="1" x14ac:dyDescent="0.25">
      <c r="B18" s="238" t="s">
        <v>38</v>
      </c>
      <c r="C18" s="318"/>
      <c r="D18" s="273">
        <f>TH!U13</f>
        <v>59218.799999999988</v>
      </c>
      <c r="E18" s="274" t="s">
        <v>20</v>
      </c>
      <c r="F18" s="275">
        <f>TH!G71</f>
        <v>1493608</v>
      </c>
      <c r="G18" s="276">
        <f>TH!F71</f>
        <v>843052</v>
      </c>
      <c r="H18" s="276">
        <f>TH!V71</f>
        <v>9929</v>
      </c>
      <c r="I18" s="277">
        <f t="shared" si="2"/>
        <v>6.6476612337373663E-3</v>
      </c>
      <c r="J18" s="278">
        <f t="shared" si="0"/>
        <v>1.9824242706252244</v>
      </c>
      <c r="K18" s="279">
        <f>TH!E71</f>
        <v>252179</v>
      </c>
      <c r="L18" s="280">
        <f>TH!H71</f>
        <v>0.1680042735740126</v>
      </c>
      <c r="M18" s="281">
        <f>TH!I71</f>
        <v>251102</v>
      </c>
      <c r="N18" s="282">
        <f t="shared" si="3"/>
        <v>0.16811773905870883</v>
      </c>
      <c r="O18" s="283">
        <f>TH!K71</f>
        <v>86802</v>
      </c>
      <c r="P18" s="282">
        <f t="shared" ref="P18" si="11">IFERROR(O18/F18,0)</f>
        <v>5.8115650157203227E-2</v>
      </c>
      <c r="Q18" s="284">
        <f t="shared" ref="Q18" si="12">IFERROR(R18/O18,0)</f>
        <v>3.4111711135688116E-2</v>
      </c>
      <c r="R18" s="285">
        <f>TH!X71</f>
        <v>2960.9647500000001</v>
      </c>
      <c r="S18" s="320"/>
      <c r="T18" s="320"/>
      <c r="U18" s="286">
        <f>M18/D18</f>
        <v>4.2402412747303231</v>
      </c>
      <c r="V18" s="335"/>
      <c r="W18" s="337"/>
    </row>
    <row r="19" spans="2:23" ht="24" customHeight="1" thickBot="1" x14ac:dyDescent="0.25">
      <c r="B19" s="250" t="s">
        <v>39</v>
      </c>
      <c r="C19" s="251" t="s">
        <v>29</v>
      </c>
      <c r="D19" s="252">
        <f>VN!U7+VN!U10</f>
        <v>14708421.398713073</v>
      </c>
      <c r="E19" s="253" t="s">
        <v>13</v>
      </c>
      <c r="F19" s="254">
        <f>VN!G59</f>
        <v>19496961</v>
      </c>
      <c r="G19" s="255">
        <f>VN!F59</f>
        <v>13283216</v>
      </c>
      <c r="H19" s="255">
        <f>VN!V59</f>
        <v>68538</v>
      </c>
      <c r="I19" s="261">
        <f>IFERROR(H19/F19,0)</f>
        <v>3.5153170794156073E-3</v>
      </c>
      <c r="J19" s="258">
        <f>IFERROR((R19/F19)*1000,0)</f>
        <v>1.1964319336741764</v>
      </c>
      <c r="K19" s="300">
        <f>VN!E59</f>
        <v>718871</v>
      </c>
      <c r="L19" s="257">
        <f>VN!H59</f>
        <v>4.2771352909124087E-2</v>
      </c>
      <c r="M19" s="256">
        <f>VN!I59</f>
        <v>695447</v>
      </c>
      <c r="N19" s="259">
        <f t="shared" si="3"/>
        <v>3.5669507673529222E-2</v>
      </c>
      <c r="O19" s="300">
        <f>VN!I59</f>
        <v>695447</v>
      </c>
      <c r="P19" s="259">
        <f>IFERROR(O19/F19,0)</f>
        <v>3.5669507673529222E-2</v>
      </c>
      <c r="Q19" s="262">
        <f>IFERROR(R19/O19,0)</f>
        <v>3.3542148790633941E-2</v>
      </c>
      <c r="R19" s="301">
        <f>VN!X59</f>
        <v>23326.786750000003</v>
      </c>
      <c r="S19" s="263">
        <f>VN!D8</f>
        <v>31315.7</v>
      </c>
      <c r="T19" s="263">
        <f t="shared" si="5"/>
        <v>7988.9132499999978</v>
      </c>
      <c r="U19" s="264">
        <f t="shared" si="1"/>
        <v>1.32556448251516</v>
      </c>
      <c r="V19" s="264">
        <f t="shared" ref="V19" si="13">R19/S19</f>
        <v>0.74489111691579635</v>
      </c>
      <c r="W19" s="265" t="s">
        <v>30</v>
      </c>
    </row>
    <row r="20" spans="2:23" ht="24" customHeight="1" thickBot="1" x14ac:dyDescent="0.25">
      <c r="B20" s="287" t="s">
        <v>40</v>
      </c>
      <c r="C20" s="312" t="s">
        <v>29</v>
      </c>
      <c r="D20" s="288">
        <f>AU!U8</f>
        <v>1000266</v>
      </c>
      <c r="E20" s="289" t="s">
        <v>13</v>
      </c>
      <c r="F20" s="290">
        <f>AU!G35</f>
        <v>8200467</v>
      </c>
      <c r="G20" s="291">
        <f>AU!F35</f>
        <v>7639245</v>
      </c>
      <c r="H20" s="291">
        <f>AU!V35</f>
        <v>20163</v>
      </c>
      <c r="I20" s="292">
        <f>IFERROR(H20/F20,0)</f>
        <v>2.4587624095066779E-3</v>
      </c>
      <c r="J20" s="293">
        <f>IFERROR((R20/F20)*1000,0)</f>
        <v>5.8199363645997213</v>
      </c>
      <c r="K20" s="294">
        <f>AU!E35</f>
        <v>840809</v>
      </c>
      <c r="L20" s="295">
        <f>AU!H35</f>
        <v>6.5224064953584085E-2</v>
      </c>
      <c r="M20" s="296">
        <f>AU!I35</f>
        <v>838202</v>
      </c>
      <c r="N20" s="295">
        <f t="shared" si="3"/>
        <v>0.10221393488931789</v>
      </c>
      <c r="O20" s="294">
        <f>AU!K35</f>
        <v>509066</v>
      </c>
      <c r="P20" s="295">
        <f>O20/F20</f>
        <v>6.2077684112380432E-2</v>
      </c>
      <c r="Q20" s="297">
        <f>IFERROR(R20/O20,0)</f>
        <v>9.375247237096955E-2</v>
      </c>
      <c r="R20" s="298">
        <f>AU!X35</f>
        <v>47726.196099999986</v>
      </c>
      <c r="S20" s="311">
        <f>AU!D8+(1000/1.41)</f>
        <v>46445.949858156026</v>
      </c>
      <c r="T20" s="311">
        <f t="shared" si="5"/>
        <v>-1280.2462418439609</v>
      </c>
      <c r="U20" s="309">
        <f t="shared" si="1"/>
        <v>8.1982862558559422</v>
      </c>
      <c r="V20" s="309">
        <f t="shared" ref="V20" si="14">R20/S20</f>
        <v>1.0275642170254624</v>
      </c>
      <c r="W20" s="299" t="s">
        <v>35</v>
      </c>
    </row>
    <row r="21" spans="2:23" ht="24" customHeight="1" thickBot="1" x14ac:dyDescent="0.25">
      <c r="B21" s="233" t="s">
        <v>41</v>
      </c>
      <c r="C21" s="235"/>
      <c r="D21" s="234">
        <f>SUM(D10:D20)</f>
        <v>58703719.308425643</v>
      </c>
      <c r="E21" s="151"/>
      <c r="F21" s="150">
        <f>SUM(F10:F20)</f>
        <v>120199554</v>
      </c>
      <c r="G21" s="150">
        <f>SUM(G10:G20)</f>
        <v>83563725</v>
      </c>
      <c r="H21" s="150">
        <f>SUM(H10:H20)</f>
        <v>594786</v>
      </c>
      <c r="I21" s="152">
        <f>AVERAGE(I10:I20)</f>
        <v>5.0095947535943441E-3</v>
      </c>
      <c r="J21" s="153">
        <f>(R21/F21)*1000</f>
        <v>1.8807958802825511</v>
      </c>
      <c r="K21" s="150">
        <f>SUM(K10:K20)</f>
        <v>3249087</v>
      </c>
      <c r="L21" s="154" t="e">
        <f>AVERAGEIF(L10:L20,"&lt;&gt;0")</f>
        <v>#DIV/0!</v>
      </c>
      <c r="M21" s="150">
        <f>SUM(M10:M20)</f>
        <v>3748566</v>
      </c>
      <c r="N21" s="154">
        <f>AVERAGEIF(N10:N20,"&lt;&gt;0")</f>
        <v>0.15742758824926337</v>
      </c>
      <c r="O21" s="150">
        <f>SUM(O10:O19)</f>
        <v>2045048</v>
      </c>
      <c r="P21" s="154">
        <f>AVERAGEIF(P10:P19,"&lt;&gt;0")</f>
        <v>0.13045898876340145</v>
      </c>
      <c r="Q21" s="155">
        <f>IFERROR(R21/O21,0)</f>
        <v>0.11054548645068479</v>
      </c>
      <c r="R21" s="156">
        <f>SUM(R10:R20)</f>
        <v>226070.82597500004</v>
      </c>
      <c r="S21" s="157">
        <f>SUM(S10:S20)</f>
        <v>274044.96985815605</v>
      </c>
      <c r="T21" s="156">
        <f>S21-R21</f>
        <v>47974.143883156008</v>
      </c>
      <c r="U21" s="158"/>
      <c r="V21" s="159"/>
      <c r="W21" s="160"/>
    </row>
    <row r="22" spans="2:23" x14ac:dyDescent="0.2"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</row>
    <row r="23" spans="2:23" x14ac:dyDescent="0.2">
      <c r="C23" s="105" t="s">
        <v>42</v>
      </c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</row>
    <row r="24" spans="2:23" x14ac:dyDescent="0.2">
      <c r="C24" s="105" t="s">
        <v>43</v>
      </c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</row>
    <row r="25" spans="2:23" x14ac:dyDescent="0.2">
      <c r="C25" s="105" t="s">
        <v>44</v>
      </c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</row>
  </sheetData>
  <mergeCells count="19">
    <mergeCell ref="V17:V18"/>
    <mergeCell ref="W17:W18"/>
    <mergeCell ref="V8:V9"/>
    <mergeCell ref="W8:W9"/>
    <mergeCell ref="U8:U9"/>
    <mergeCell ref="W12:W13"/>
    <mergeCell ref="V12:V13"/>
    <mergeCell ref="T12:T13"/>
    <mergeCell ref="T17:T18"/>
    <mergeCell ref="D8:E9"/>
    <mergeCell ref="C8:C9"/>
    <mergeCell ref="O8:Q8"/>
    <mergeCell ref="F8:N8"/>
    <mergeCell ref="R8:T8"/>
    <mergeCell ref="B8:B9"/>
    <mergeCell ref="C17:C18"/>
    <mergeCell ref="S17:S18"/>
    <mergeCell ref="C12:C13"/>
    <mergeCell ref="S12:S13"/>
  </mergeCells>
  <conditionalFormatting sqref="U10:V12 U17:V17 U13:U14 U19:V20 U18">
    <cfRule type="cellIs" dxfId="88" priority="16" operator="lessThan">
      <formula>0.98</formula>
    </cfRule>
    <cfRule type="cellIs" dxfId="87" priority="17" operator="greaterThan">
      <formula>0.99</formula>
    </cfRule>
  </conditionalFormatting>
  <conditionalFormatting sqref="U19:U20">
    <cfRule type="cellIs" dxfId="86" priority="13" operator="greaterThan">
      <formula>0.999</formula>
    </cfRule>
    <cfRule type="cellIs" dxfId="85" priority="14" operator="greaterThan">
      <formula>99.9</formula>
    </cfRule>
    <cfRule type="cellIs" dxfId="84" priority="15" operator="lessThan">
      <formula>100</formula>
    </cfRule>
  </conditionalFormatting>
  <conditionalFormatting sqref="V14">
    <cfRule type="cellIs" dxfId="83" priority="11" operator="lessThan">
      <formula>0.98</formula>
    </cfRule>
    <cfRule type="cellIs" dxfId="82" priority="12" operator="greaterThan">
      <formula>0.99</formula>
    </cfRule>
  </conditionalFormatting>
  <conditionalFormatting sqref="U15">
    <cfRule type="cellIs" dxfId="81" priority="9" operator="lessThan">
      <formula>0.98</formula>
    </cfRule>
    <cfRule type="cellIs" dxfId="80" priority="10" operator="greaterThan">
      <formula>0.99</formula>
    </cfRule>
  </conditionalFormatting>
  <conditionalFormatting sqref="V15">
    <cfRule type="cellIs" dxfId="79" priority="7" operator="lessThan">
      <formula>0.98</formula>
    </cfRule>
    <cfRule type="cellIs" dxfId="78" priority="8" operator="greaterThan">
      <formula>0.99</formula>
    </cfRule>
  </conditionalFormatting>
  <conditionalFormatting sqref="V16">
    <cfRule type="cellIs" dxfId="77" priority="3" operator="lessThan">
      <formula>0.98</formula>
    </cfRule>
    <cfRule type="cellIs" dxfId="76" priority="4" operator="greaterThan">
      <formula>0.99</formula>
    </cfRule>
  </conditionalFormatting>
  <conditionalFormatting sqref="U16">
    <cfRule type="cellIs" dxfId="75" priority="1" operator="lessThan">
      <formula>0.98</formula>
    </cfRule>
    <cfRule type="cellIs" dxfId="74" priority="2" operator="greaterThan">
      <formula>0.99</formula>
    </cfRule>
  </conditionalFormatting>
  <pageMargins left="0.7" right="0.7" top="0.75" bottom="0.75" header="0.3" footer="0.3"/>
  <pageSetup paperSize="9" scale="55" fitToHeight="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2:AH969"/>
  <sheetViews>
    <sheetView topLeftCell="A43" zoomScale="60" zoomScaleNormal="60" workbookViewId="0">
      <selection activeCell="K25" sqref="K25"/>
    </sheetView>
  </sheetViews>
  <sheetFormatPr defaultColWidth="14.42578125" defaultRowHeight="15.75" customHeight="1" x14ac:dyDescent="0.2"/>
  <cols>
    <col min="1" max="1" width="2.28515625" style="4" customWidth="1"/>
    <col min="2" max="2" width="15.28515625" style="4" customWidth="1"/>
    <col min="3" max="3" width="11.7109375" style="175" customWidth="1"/>
    <col min="4" max="4" width="14.42578125" style="4"/>
    <col min="5" max="5" width="11.28515625" style="4" customWidth="1"/>
    <col min="6" max="6" width="11.42578125" style="4" customWidth="1"/>
    <col min="7" max="7" width="12.7109375" style="4" customWidth="1"/>
    <col min="8" max="8" width="12.28515625" style="4" bestFit="1" customWidth="1"/>
    <col min="9" max="9" width="6.28515625" style="4" customWidth="1"/>
    <col min="10" max="10" width="9.28515625" style="4" customWidth="1"/>
    <col min="11" max="11" width="7.7109375" style="4" customWidth="1"/>
    <col min="12" max="12" width="6.7109375" style="4" customWidth="1"/>
    <col min="13" max="14" width="7.7109375" style="4" customWidth="1"/>
    <col min="15" max="15" width="7.5703125" style="4" customWidth="1"/>
    <col min="16" max="16" width="6.28515625" style="4" customWidth="1"/>
    <col min="17" max="17" width="8.7109375" style="4" customWidth="1"/>
    <col min="18" max="18" width="10.7109375" style="4" customWidth="1"/>
    <col min="19" max="19" width="11.42578125" style="4" customWidth="1"/>
    <col min="20" max="20" width="12.42578125" style="4" customWidth="1"/>
    <col min="21" max="21" width="11.28515625" style="4" customWidth="1"/>
    <col min="22" max="22" width="13.28515625" style="4" customWidth="1"/>
    <col min="23" max="23" width="13.28515625" style="4" bestFit="1" customWidth="1"/>
    <col min="24" max="24" width="11" style="4" customWidth="1"/>
    <col min="25" max="25" width="12.7109375" style="4" customWidth="1"/>
    <col min="26" max="16384" width="14.42578125" style="4"/>
  </cols>
  <sheetData>
    <row r="2" spans="1:34" x14ac:dyDescent="0.25">
      <c r="B2" s="5" t="s">
        <v>45</v>
      </c>
      <c r="C2" s="16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6"/>
      <c r="Z2" s="2"/>
      <c r="AA2" s="2"/>
      <c r="AB2" s="2"/>
      <c r="AC2" s="2"/>
      <c r="AD2" s="2"/>
      <c r="AE2" s="2"/>
      <c r="AF2" s="2"/>
      <c r="AG2" s="2"/>
      <c r="AH2" s="2"/>
    </row>
    <row r="3" spans="1:34" ht="15.75" customHeight="1" x14ac:dyDescent="0.2">
      <c r="B3" s="7"/>
      <c r="C3" s="16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6"/>
      <c r="Z3" s="2"/>
      <c r="AA3" s="2"/>
      <c r="AB3" s="2"/>
      <c r="AC3" s="2"/>
      <c r="AD3" s="2"/>
      <c r="AE3" s="2"/>
      <c r="AF3" s="2"/>
      <c r="AG3" s="2"/>
      <c r="AH3" s="2"/>
    </row>
    <row r="4" spans="1:34" ht="15.75" customHeight="1" x14ac:dyDescent="0.2">
      <c r="B4" s="7" t="s">
        <v>46</v>
      </c>
      <c r="C4" s="167"/>
      <c r="D4" s="84" t="s">
        <v>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6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 x14ac:dyDescent="0.2">
      <c r="B5" s="7" t="s">
        <v>47</v>
      </c>
      <c r="C5" s="167"/>
      <c r="D5" s="8">
        <v>41</v>
      </c>
      <c r="E5" s="7"/>
      <c r="F5" s="2"/>
      <c r="G5" s="2"/>
      <c r="H5" s="7"/>
      <c r="I5" s="2"/>
      <c r="J5" s="8"/>
      <c r="K5" s="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6"/>
      <c r="Z5" s="2"/>
      <c r="AA5" s="2"/>
      <c r="AB5" s="2"/>
      <c r="AC5" s="2"/>
      <c r="AD5" s="2"/>
      <c r="AE5" s="2"/>
      <c r="AF5" s="2"/>
      <c r="AG5" s="2"/>
      <c r="AH5" s="2"/>
    </row>
    <row r="6" spans="1:34" ht="15.75" customHeight="1" x14ac:dyDescent="0.2">
      <c r="B6" s="7" t="s">
        <v>48</v>
      </c>
      <c r="C6" s="167"/>
      <c r="D6" s="8">
        <v>33</v>
      </c>
      <c r="E6" s="7"/>
      <c r="F6" s="2"/>
      <c r="G6" s="2"/>
      <c r="H6" s="7"/>
      <c r="I6" s="2"/>
      <c r="J6" s="8"/>
      <c r="K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6"/>
      <c r="Z6" s="2"/>
      <c r="AA6" s="2"/>
      <c r="AB6" s="2"/>
      <c r="AC6" s="2"/>
      <c r="AD6" s="2"/>
      <c r="AE6" s="2"/>
      <c r="AF6" s="2"/>
      <c r="AG6" s="2"/>
      <c r="AH6" s="2"/>
    </row>
    <row r="7" spans="1:34" ht="15.75" customHeight="1" x14ac:dyDescent="0.2">
      <c r="B7" s="7" t="s">
        <v>49</v>
      </c>
      <c r="C7" s="167"/>
      <c r="D7" s="8">
        <f>D5-D6</f>
        <v>8</v>
      </c>
      <c r="E7" s="7"/>
      <c r="F7" s="2"/>
      <c r="G7" s="2"/>
      <c r="H7" s="7"/>
      <c r="I7" s="2"/>
      <c r="J7" s="8"/>
      <c r="K7" s="7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6"/>
      <c r="Z7" s="2"/>
      <c r="AA7" s="2"/>
      <c r="AB7" s="2"/>
      <c r="AC7" s="2"/>
      <c r="AD7" s="2"/>
      <c r="AE7" s="2"/>
      <c r="AF7" s="2"/>
      <c r="AG7" s="2"/>
      <c r="AH7" s="2"/>
    </row>
    <row r="8" spans="1:34" ht="15.75" customHeight="1" x14ac:dyDescent="0.2">
      <c r="B8" s="7" t="s">
        <v>50</v>
      </c>
      <c r="C8" s="167"/>
      <c r="D8" s="102">
        <f>W10</f>
        <v>28350</v>
      </c>
      <c r="E8" s="7"/>
      <c r="F8" s="2"/>
      <c r="G8" s="2"/>
      <c r="H8" s="7"/>
      <c r="I8" s="2"/>
      <c r="J8" s="8"/>
      <c r="K8" s="7"/>
      <c r="L8" s="2"/>
      <c r="M8" s="2"/>
      <c r="N8" s="2"/>
      <c r="W8" s="2"/>
      <c r="X8" s="2"/>
      <c r="Y8" s="6"/>
      <c r="Z8" s="2"/>
      <c r="AA8" s="2"/>
      <c r="AB8" s="2"/>
      <c r="AC8" s="2"/>
      <c r="AD8" s="2"/>
      <c r="AE8" s="2"/>
      <c r="AF8" s="2"/>
      <c r="AG8" s="2"/>
      <c r="AH8" s="2"/>
    </row>
    <row r="9" spans="1:34" ht="25.5" x14ac:dyDescent="0.2">
      <c r="A9" s="34"/>
      <c r="B9" s="35" t="s">
        <v>51</v>
      </c>
      <c r="C9" s="168"/>
      <c r="D9" s="101" t="s">
        <v>52</v>
      </c>
      <c r="E9" s="34"/>
      <c r="F9" s="64"/>
      <c r="G9" s="64"/>
      <c r="H9" s="34"/>
      <c r="I9" s="7"/>
      <c r="J9" s="2"/>
      <c r="K9" s="2"/>
      <c r="L9" s="2"/>
      <c r="M9" s="2"/>
      <c r="N9" s="2"/>
      <c r="T9" s="37" t="s">
        <v>53</v>
      </c>
      <c r="U9" s="37" t="s">
        <v>54</v>
      </c>
      <c r="V9" s="37" t="s">
        <v>55</v>
      </c>
      <c r="W9" s="37" t="s">
        <v>56</v>
      </c>
      <c r="X9" s="37" t="s">
        <v>57</v>
      </c>
      <c r="Y9" s="38" t="s">
        <v>58</v>
      </c>
      <c r="Z9" s="2"/>
      <c r="AA9" s="2"/>
      <c r="AB9" s="2"/>
      <c r="AC9" s="2"/>
      <c r="AD9" s="2"/>
      <c r="AE9" s="2"/>
      <c r="AF9" s="2"/>
      <c r="AG9" s="2"/>
      <c r="AH9" s="2"/>
    </row>
    <row r="10" spans="1:34" ht="12.75" x14ac:dyDescent="0.2">
      <c r="A10" s="34"/>
      <c r="B10" s="35" t="s">
        <v>59</v>
      </c>
      <c r="C10" s="168"/>
      <c r="D10" s="90">
        <v>43482</v>
      </c>
      <c r="E10" s="1"/>
      <c r="F10" s="1"/>
      <c r="G10" s="1"/>
      <c r="H10" s="34"/>
      <c r="I10" s="7"/>
      <c r="J10" s="2"/>
      <c r="K10" s="2"/>
      <c r="L10" s="2"/>
      <c r="M10" s="2"/>
      <c r="N10" s="2"/>
      <c r="S10" s="349"/>
      <c r="T10" s="39">
        <v>12886557.739423696</v>
      </c>
      <c r="U10" s="40">
        <f>F56</f>
        <v>39467814</v>
      </c>
      <c r="V10" s="41">
        <f>U10/T10</f>
        <v>3.0627119202870272</v>
      </c>
      <c r="W10" s="67">
        <v>28350</v>
      </c>
      <c r="X10" s="43">
        <f>W56</f>
        <v>23145.026625000017</v>
      </c>
      <c r="Y10" s="41">
        <f>X10/W10</f>
        <v>0.81640305555555615</v>
      </c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.75" customHeight="1" x14ac:dyDescent="0.2">
      <c r="A11" s="34"/>
      <c r="B11" s="1"/>
      <c r="C11" s="169"/>
      <c r="D11" s="33"/>
      <c r="E11" s="1"/>
      <c r="F11" s="1"/>
      <c r="G11" s="1"/>
      <c r="H11" s="34"/>
      <c r="I11" s="7"/>
      <c r="J11" s="2"/>
      <c r="K11" s="2"/>
      <c r="L11" s="2"/>
      <c r="M11" s="2"/>
      <c r="N11" s="2"/>
      <c r="S11" s="349"/>
      <c r="T11" s="34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.75" customHeight="1" thickBot="1" x14ac:dyDescent="0.25">
      <c r="B12" s="35"/>
      <c r="C12" s="168"/>
      <c r="D12" s="33"/>
      <c r="E12" s="1"/>
      <c r="F12" s="1"/>
      <c r="G12" s="1"/>
      <c r="I12" s="7"/>
      <c r="J12" s="2"/>
      <c r="K12" s="2"/>
      <c r="L12" s="2"/>
      <c r="M12" s="2"/>
      <c r="N12" s="2"/>
      <c r="T12" s="48"/>
      <c r="U12" s="48"/>
      <c r="V12" s="49"/>
      <c r="W12" s="50"/>
      <c r="X12" s="51"/>
      <c r="Y12" s="49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5.75" customHeight="1" x14ac:dyDescent="0.2">
      <c r="B13" s="63" t="s">
        <v>60</v>
      </c>
      <c r="C13" s="170"/>
      <c r="D13" s="53"/>
      <c r="E13" s="52"/>
      <c r="F13" s="52"/>
      <c r="G13" s="52"/>
      <c r="H13" s="54"/>
      <c r="I13" s="55"/>
      <c r="J13" s="52"/>
      <c r="K13" s="52"/>
      <c r="L13" s="52"/>
      <c r="M13" s="52"/>
      <c r="N13" s="52"/>
      <c r="O13" s="54"/>
      <c r="P13" s="54"/>
      <c r="Q13" s="54"/>
      <c r="R13" s="54"/>
      <c r="S13" s="54"/>
      <c r="T13" s="54"/>
      <c r="U13" s="54"/>
      <c r="V13" s="54"/>
      <c r="W13" s="52"/>
      <c r="X13" s="52"/>
      <c r="Y13" s="56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5.75" customHeight="1" x14ac:dyDescent="0.2">
      <c r="B14" s="65"/>
      <c r="C14" s="168"/>
      <c r="D14" s="33"/>
      <c r="E14" s="1"/>
      <c r="F14" s="1"/>
      <c r="G14" s="1"/>
      <c r="H14" s="34"/>
      <c r="I14" s="35"/>
      <c r="J14" s="1"/>
      <c r="K14" s="1"/>
      <c r="L14" s="1"/>
      <c r="M14" s="1"/>
      <c r="N14" s="1"/>
      <c r="O14" s="34"/>
      <c r="P14" s="34"/>
      <c r="Q14" s="34"/>
      <c r="R14" s="34"/>
      <c r="S14" s="34"/>
      <c r="T14" s="34"/>
      <c r="U14" s="34"/>
      <c r="V14" s="34"/>
      <c r="W14" s="1"/>
      <c r="X14" s="1"/>
      <c r="Y14" s="66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2.75" x14ac:dyDescent="0.2">
      <c r="B15" s="57"/>
      <c r="C15" s="168"/>
      <c r="D15" s="33"/>
      <c r="E15" s="1"/>
      <c r="F15" s="1"/>
      <c r="G15" s="1"/>
      <c r="H15" s="34"/>
      <c r="I15" s="35"/>
      <c r="J15" s="1"/>
      <c r="K15" s="1"/>
      <c r="L15" s="1"/>
      <c r="M15" s="1"/>
      <c r="N15" s="1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58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5.75" customHeight="1" x14ac:dyDescent="0.2">
      <c r="B16" s="57"/>
      <c r="C16" s="168"/>
      <c r="D16" s="33"/>
      <c r="E16" s="1"/>
      <c r="F16" s="1"/>
      <c r="G16" s="1"/>
      <c r="H16" s="34"/>
      <c r="I16" s="35"/>
      <c r="J16" s="1"/>
      <c r="K16" s="1"/>
      <c r="L16" s="1"/>
      <c r="M16" s="1"/>
      <c r="N16" s="1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58"/>
      <c r="Z16" s="2"/>
      <c r="AA16" s="2"/>
      <c r="AB16" s="2"/>
      <c r="AC16" s="2"/>
      <c r="AD16" s="2"/>
      <c r="AE16" s="2"/>
      <c r="AF16" s="2"/>
      <c r="AG16" s="2"/>
      <c r="AH16" s="2"/>
    </row>
    <row r="17" spans="2:34" ht="15.75" customHeight="1" thickBot="1" x14ac:dyDescent="0.25">
      <c r="B17" s="59"/>
      <c r="C17" s="171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1"/>
      <c r="P17" s="61"/>
      <c r="Q17" s="61"/>
      <c r="R17" s="61"/>
      <c r="S17" s="61"/>
      <c r="T17" s="61"/>
      <c r="U17" s="61"/>
      <c r="V17" s="61"/>
      <c r="W17" s="60"/>
      <c r="X17" s="60"/>
      <c r="Y17" s="62"/>
      <c r="Z17" s="2"/>
      <c r="AA17" s="2"/>
      <c r="AB17" s="2"/>
      <c r="AC17" s="2"/>
      <c r="AD17" s="2"/>
      <c r="AE17" s="2"/>
      <c r="AF17" s="2"/>
      <c r="AG17" s="2"/>
      <c r="AH17" s="2"/>
    </row>
    <row r="18" spans="2:34" ht="15.75" customHeight="1" x14ac:dyDescent="0.2">
      <c r="B18" s="9"/>
      <c r="C18" s="16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6"/>
      <c r="Z18" s="2"/>
      <c r="AA18" s="2"/>
      <c r="AB18" s="2"/>
      <c r="AC18" s="2"/>
      <c r="AD18" s="2"/>
      <c r="AE18" s="2"/>
      <c r="AF18" s="2"/>
      <c r="AG18" s="2"/>
      <c r="AH18" s="2"/>
    </row>
    <row r="19" spans="2:34" ht="15.75" customHeight="1" x14ac:dyDescent="0.2">
      <c r="B19" s="352" t="s">
        <v>61</v>
      </c>
      <c r="C19" s="352"/>
      <c r="D19" s="352"/>
      <c r="E19" s="352"/>
      <c r="F19" s="352"/>
      <c r="G19" s="352"/>
      <c r="H19" s="352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352"/>
      <c r="Y19" s="352"/>
      <c r="Z19" s="2"/>
      <c r="AA19" s="2"/>
      <c r="AB19" s="2"/>
      <c r="AC19" s="2"/>
      <c r="AD19" s="2"/>
      <c r="AE19" s="2"/>
      <c r="AF19" s="2"/>
      <c r="AG19" s="2"/>
      <c r="AH19" s="2"/>
    </row>
    <row r="20" spans="2:34" ht="25.5" x14ac:dyDescent="0.2">
      <c r="B20" s="13" t="s">
        <v>62</v>
      </c>
      <c r="C20" s="172" t="s">
        <v>63</v>
      </c>
      <c r="D20" s="13" t="s">
        <v>64</v>
      </c>
      <c r="E20" s="13" t="s">
        <v>65</v>
      </c>
      <c r="F20" s="97" t="s">
        <v>66</v>
      </c>
      <c r="G20" s="13" t="s">
        <v>67</v>
      </c>
      <c r="H20" s="13" t="s">
        <v>68</v>
      </c>
      <c r="I20" s="13" t="s">
        <v>21</v>
      </c>
      <c r="J20" s="13" t="s">
        <v>69</v>
      </c>
      <c r="K20" s="13" t="s">
        <v>70</v>
      </c>
      <c r="L20" s="13" t="s">
        <v>71</v>
      </c>
      <c r="M20" s="13" t="s">
        <v>72</v>
      </c>
      <c r="N20" s="13" t="s">
        <v>73</v>
      </c>
      <c r="O20" s="13" t="s">
        <v>74</v>
      </c>
      <c r="P20" s="13" t="s">
        <v>75</v>
      </c>
      <c r="Q20" s="13" t="s">
        <v>76</v>
      </c>
      <c r="R20" s="13" t="s">
        <v>77</v>
      </c>
      <c r="S20" s="13" t="s">
        <v>78</v>
      </c>
      <c r="T20" s="13" t="s">
        <v>79</v>
      </c>
      <c r="U20" s="13" t="s">
        <v>80</v>
      </c>
      <c r="V20" s="13" t="s">
        <v>81</v>
      </c>
      <c r="W20" s="14" t="s">
        <v>82</v>
      </c>
      <c r="X20" s="14" t="s">
        <v>83</v>
      </c>
      <c r="Y20" s="15" t="s">
        <v>84</v>
      </c>
      <c r="Z20" s="2"/>
      <c r="AA20" s="2"/>
      <c r="AB20" s="2"/>
      <c r="AC20" s="2"/>
      <c r="AD20" s="2"/>
      <c r="AE20" s="2"/>
      <c r="AF20" s="2"/>
      <c r="AG20" s="2"/>
    </row>
    <row r="21" spans="2:34" ht="15.75" customHeight="1" x14ac:dyDescent="0.2">
      <c r="B21" s="10" t="s">
        <v>85</v>
      </c>
      <c r="C21" s="166" t="str">
        <f>HYPERLINK("https://www.facebook.com/ZespriID/videos/1692373120839813/","7 May")</f>
        <v>7 May</v>
      </c>
      <c r="D21" s="3">
        <f>D62</f>
        <v>15339</v>
      </c>
      <c r="E21" s="3">
        <f t="shared" ref="E21:F21" si="0">E62</f>
        <v>975871</v>
      </c>
      <c r="F21" s="94">
        <f t="shared" si="0"/>
        <v>1418859</v>
      </c>
      <c r="G21" s="25">
        <f>D21/F21</f>
        <v>1.0810799381756749E-2</v>
      </c>
      <c r="H21" s="3">
        <f>H62</f>
        <v>13545</v>
      </c>
      <c r="I21" s="25">
        <f>I62</f>
        <v>9.7112039155334284E-3</v>
      </c>
      <c r="J21" s="3">
        <f t="shared" ref="J21:P21" si="1">J62</f>
        <v>5022</v>
      </c>
      <c r="K21" s="27">
        <f t="shared" si="1"/>
        <v>3.5948736521115767E-3</v>
      </c>
      <c r="L21" s="25">
        <f t="shared" si="1"/>
        <v>1.3199591620632358E-2</v>
      </c>
      <c r="M21" s="25">
        <f t="shared" si="1"/>
        <v>6.6813489762101545E-3</v>
      </c>
      <c r="N21" s="25">
        <f t="shared" si="1"/>
        <v>4.5667822044463758E-3</v>
      </c>
      <c r="O21" s="25">
        <f t="shared" si="1"/>
        <v>3.5554287891056704E-3</v>
      </c>
      <c r="P21" s="3">
        <f t="shared" si="1"/>
        <v>180</v>
      </c>
      <c r="Q21" s="3" t="s">
        <v>34</v>
      </c>
      <c r="R21" s="3">
        <f>R62</f>
        <v>8</v>
      </c>
      <c r="S21" s="3">
        <f>S62</f>
        <v>1775</v>
      </c>
      <c r="T21" s="3">
        <f>T62</f>
        <v>11</v>
      </c>
      <c r="U21" s="3">
        <f>U62</f>
        <v>11842</v>
      </c>
      <c r="V21" s="22">
        <v>780.85</v>
      </c>
      <c r="W21" s="22">
        <f>V62</f>
        <v>780.82274999999993</v>
      </c>
      <c r="X21" s="22">
        <f>V21-W21</f>
        <v>2.7250000000094587E-2</v>
      </c>
      <c r="Y21" s="10">
        <v>2</v>
      </c>
      <c r="Z21" s="149"/>
      <c r="AA21" s="11"/>
      <c r="AB21" s="11"/>
      <c r="AC21" s="11"/>
      <c r="AD21" s="11"/>
      <c r="AE21" s="11"/>
      <c r="AF21" s="11"/>
      <c r="AG21" s="11"/>
    </row>
    <row r="22" spans="2:34" ht="15.75" customHeight="1" x14ac:dyDescent="0.2">
      <c r="B22" s="10" t="s">
        <v>86</v>
      </c>
      <c r="C22" s="166" t="str">
        <f>HYPERLINK("https://www.facebook.com/ZespriID/posts/1698473383563120","13 May")</f>
        <v>13 May</v>
      </c>
      <c r="D22" s="3">
        <f>D65</f>
        <v>6993</v>
      </c>
      <c r="E22" s="3">
        <f t="shared" ref="E22:F22" si="2">E65</f>
        <v>915454</v>
      </c>
      <c r="F22" s="94">
        <f t="shared" si="2"/>
        <v>1128452</v>
      </c>
      <c r="G22" s="25">
        <f t="shared" ref="G22:G23" si="3">D22/F22</f>
        <v>6.1969848961231843E-3</v>
      </c>
      <c r="H22" s="3" t="s">
        <v>34</v>
      </c>
      <c r="I22" s="25" t="s">
        <v>34</v>
      </c>
      <c r="J22" s="3" t="s">
        <v>34</v>
      </c>
      <c r="K22" s="25" t="s">
        <v>34</v>
      </c>
      <c r="L22" s="25" t="s">
        <v>34</v>
      </c>
      <c r="M22" s="25" t="s">
        <v>34</v>
      </c>
      <c r="N22" s="25" t="s">
        <v>34</v>
      </c>
      <c r="O22" s="25" t="s">
        <v>34</v>
      </c>
      <c r="P22" s="3">
        <f t="shared" ref="P22" si="4">P65</f>
        <v>155</v>
      </c>
      <c r="Q22" s="3">
        <f>Q65</f>
        <v>2904</v>
      </c>
      <c r="R22" s="3">
        <f>R65</f>
        <v>5</v>
      </c>
      <c r="S22" s="3">
        <f>S65</f>
        <v>4022</v>
      </c>
      <c r="T22" s="3">
        <f>T65</f>
        <v>62</v>
      </c>
      <c r="U22" s="3">
        <f>U65</f>
        <v>9823</v>
      </c>
      <c r="V22" s="22">
        <v>780.85</v>
      </c>
      <c r="W22" s="22">
        <f>V65</f>
        <v>780.82274999999993</v>
      </c>
      <c r="X22" s="22">
        <f t="shared" ref="X22:X26" si="5">V22-W22</f>
        <v>2.7250000000094587E-2</v>
      </c>
      <c r="Y22" s="10">
        <v>1</v>
      </c>
      <c r="Z22" s="2"/>
      <c r="AA22" s="2"/>
      <c r="AB22" s="2"/>
      <c r="AC22" s="2"/>
      <c r="AD22" s="2"/>
      <c r="AE22" s="2"/>
      <c r="AF22" s="2"/>
      <c r="AG22" s="2"/>
      <c r="AH22" s="2"/>
    </row>
    <row r="23" spans="2:34" ht="15.75" customHeight="1" x14ac:dyDescent="0.2">
      <c r="B23" s="10" t="s">
        <v>87</v>
      </c>
      <c r="C23" s="166" t="str">
        <f>HYPERLINK("https://www.facebook.com/ZespriID/videos/1704050383005420/","17 May")</f>
        <v>17 May</v>
      </c>
      <c r="D23" s="3">
        <f>D68</f>
        <v>18364</v>
      </c>
      <c r="E23" s="3">
        <f t="shared" ref="E23:F23" si="6">E68</f>
        <v>969996</v>
      </c>
      <c r="F23" s="94">
        <f t="shared" si="6"/>
        <v>1390906</v>
      </c>
      <c r="G23" s="25">
        <f t="shared" si="3"/>
        <v>1.3202905156782701E-2</v>
      </c>
      <c r="H23" s="3">
        <f>H68</f>
        <v>16855</v>
      </c>
      <c r="I23" s="25">
        <f t="shared" ref="I23:P23" si="7">I68</f>
        <v>1.2469887495913535E-2</v>
      </c>
      <c r="J23" s="3">
        <f t="shared" si="7"/>
        <v>12046</v>
      </c>
      <c r="K23" s="25">
        <f t="shared" si="7"/>
        <v>8.9070064376449484E-3</v>
      </c>
      <c r="L23" s="25">
        <f t="shared" si="7"/>
        <v>2.5369667816288674E-2</v>
      </c>
      <c r="M23" s="25">
        <f t="shared" si="7"/>
        <v>1.3588055972002725E-2</v>
      </c>
      <c r="N23" s="25">
        <f t="shared" si="7"/>
        <v>1.0454079214925121E-2</v>
      </c>
      <c r="O23" s="25">
        <f t="shared" si="7"/>
        <v>8.9589139352637803E-3</v>
      </c>
      <c r="P23" s="3">
        <f t="shared" si="7"/>
        <v>165</v>
      </c>
      <c r="Q23" s="3" t="s">
        <v>34</v>
      </c>
      <c r="R23" s="3">
        <f>R68</f>
        <v>5</v>
      </c>
      <c r="S23" s="3">
        <f>S68</f>
        <v>1493</v>
      </c>
      <c r="T23" s="3">
        <f>T68</f>
        <v>11</v>
      </c>
      <c r="U23" s="3">
        <f>U68</f>
        <v>15743</v>
      </c>
      <c r="V23" s="22">
        <v>780.85</v>
      </c>
      <c r="W23" s="22">
        <f>V68</f>
        <v>780.82274999999993</v>
      </c>
      <c r="X23" s="22">
        <f t="shared" si="5"/>
        <v>2.7250000000094587E-2</v>
      </c>
      <c r="Y23" s="10">
        <v>3</v>
      </c>
      <c r="Z23" s="2"/>
      <c r="AA23" s="2"/>
      <c r="AB23" s="2"/>
      <c r="AC23" s="2"/>
      <c r="AD23" s="2"/>
      <c r="AE23" s="2"/>
      <c r="AF23" s="2"/>
      <c r="AG23" s="2"/>
      <c r="AH23" s="2"/>
    </row>
    <row r="24" spans="2:34" ht="15.75" customHeight="1" x14ac:dyDescent="0.2">
      <c r="B24" s="10" t="s">
        <v>88</v>
      </c>
      <c r="C24" s="166" t="str">
        <f>HYPERLINK("https://www.facebook.com/ZespriID/videos/1692374037506388/","28 May")</f>
        <v>28 May</v>
      </c>
      <c r="D24" s="81">
        <f>D71</f>
        <v>22494</v>
      </c>
      <c r="E24" s="81">
        <f t="shared" ref="E24:U24" si="8">E71</f>
        <v>742720</v>
      </c>
      <c r="F24" s="96">
        <f t="shared" si="8"/>
        <v>986662</v>
      </c>
      <c r="G24" s="83">
        <f t="shared" si="8"/>
        <v>2.334934433752377E-2</v>
      </c>
      <c r="H24" s="81">
        <f t="shared" si="8"/>
        <v>21209</v>
      </c>
      <c r="I24" s="83">
        <f t="shared" si="8"/>
        <v>2.2028985745623328E-2</v>
      </c>
      <c r="J24" s="81">
        <f t="shared" si="8"/>
        <v>4213</v>
      </c>
      <c r="K24" s="121">
        <f t="shared" si="8"/>
        <v>4.3709270607297608E-3</v>
      </c>
      <c r="L24" s="83">
        <f t="shared" si="8"/>
        <v>1.9182117924068459E-2</v>
      </c>
      <c r="M24" s="83">
        <f t="shared" si="8"/>
        <v>1.1077996194133684E-2</v>
      </c>
      <c r="N24" s="83">
        <f t="shared" si="8"/>
        <v>7.1672708949536805E-3</v>
      </c>
      <c r="O24" s="121">
        <f t="shared" si="8"/>
        <v>4.2767703616999149E-3</v>
      </c>
      <c r="P24" s="81">
        <f t="shared" si="8"/>
        <v>83</v>
      </c>
      <c r="Q24" s="81" t="s">
        <v>34</v>
      </c>
      <c r="R24" s="81">
        <f t="shared" si="8"/>
        <v>7</v>
      </c>
      <c r="S24" s="81">
        <f t="shared" si="8"/>
        <v>1269</v>
      </c>
      <c r="T24" s="81">
        <f t="shared" si="8"/>
        <v>9</v>
      </c>
      <c r="U24" s="81">
        <f t="shared" si="8"/>
        <v>11460</v>
      </c>
      <c r="V24" s="76">
        <v>557.29999999999995</v>
      </c>
      <c r="W24" s="76">
        <f>V71</f>
        <v>556.93237499999998</v>
      </c>
      <c r="X24" s="22">
        <f>V24-W24</f>
        <v>0.36762499999997544</v>
      </c>
      <c r="Y24" s="82">
        <v>4</v>
      </c>
      <c r="Z24" s="2"/>
      <c r="AA24" s="2"/>
      <c r="AB24" s="2"/>
      <c r="AC24" s="2"/>
      <c r="AD24" s="2"/>
      <c r="AE24" s="2"/>
      <c r="AF24" s="2"/>
      <c r="AG24" s="2"/>
      <c r="AH24" s="2"/>
    </row>
    <row r="25" spans="2:34" ht="15.75" customHeight="1" x14ac:dyDescent="0.2">
      <c r="B25" s="10" t="s">
        <v>89</v>
      </c>
      <c r="C25" s="166" t="str">
        <f>HYPERLINK("https://www.facebook.com/ZespriID/videos/1718704744873317/","1 Jun")</f>
        <v>1 Jun</v>
      </c>
      <c r="D25" s="3">
        <f>D74</f>
        <v>12614</v>
      </c>
      <c r="E25" s="3">
        <f t="shared" ref="E25:U25" si="9">E74</f>
        <v>756225</v>
      </c>
      <c r="F25" s="94">
        <f t="shared" si="9"/>
        <v>1071342</v>
      </c>
      <c r="G25" s="25">
        <f t="shared" si="9"/>
        <v>1.2143599265885135E-2</v>
      </c>
      <c r="H25" s="3">
        <f t="shared" si="9"/>
        <v>11063</v>
      </c>
      <c r="I25" s="25">
        <f t="shared" si="9"/>
        <v>1.0666702715271245E-2</v>
      </c>
      <c r="J25" s="3">
        <f t="shared" si="9"/>
        <v>4003</v>
      </c>
      <c r="K25" s="27">
        <f t="shared" si="9"/>
        <v>3.8481870531752223E-3</v>
      </c>
      <c r="L25" s="25">
        <f t="shared" si="9"/>
        <v>1.6158393899429288E-2</v>
      </c>
      <c r="M25" s="25">
        <f t="shared" si="9"/>
        <v>8.8455100707935386E-3</v>
      </c>
      <c r="N25" s="25">
        <f t="shared" si="9"/>
        <v>5.4438948052362955E-3</v>
      </c>
      <c r="O25" s="27">
        <f t="shared" si="9"/>
        <v>3.7743685628642285E-3</v>
      </c>
      <c r="P25" s="3">
        <f t="shared" si="9"/>
        <v>70</v>
      </c>
      <c r="Q25" s="3" t="str">
        <f t="shared" si="9"/>
        <v>-</v>
      </c>
      <c r="R25" s="3">
        <f t="shared" si="9"/>
        <v>2</v>
      </c>
      <c r="S25" s="3">
        <f t="shared" si="9"/>
        <v>1328</v>
      </c>
      <c r="T25" s="3">
        <f t="shared" si="9"/>
        <v>6</v>
      </c>
      <c r="U25" s="3">
        <f t="shared" si="9"/>
        <v>8552</v>
      </c>
      <c r="V25" s="76">
        <v>557.29999999999995</v>
      </c>
      <c r="W25" s="22">
        <f>V74</f>
        <v>556.89712499999996</v>
      </c>
      <c r="X25" s="22">
        <f>V25-W25</f>
        <v>0.40287499999999454</v>
      </c>
      <c r="Y25" s="10">
        <v>3</v>
      </c>
      <c r="Z25" s="2"/>
      <c r="AA25" s="2"/>
      <c r="AB25" s="2"/>
      <c r="AC25" s="2"/>
      <c r="AD25" s="2"/>
      <c r="AE25" s="2"/>
      <c r="AF25" s="2"/>
      <c r="AG25" s="2"/>
      <c r="AH25" s="2"/>
    </row>
    <row r="26" spans="2:34" ht="15.75" customHeight="1" x14ac:dyDescent="0.2">
      <c r="B26" s="10" t="s">
        <v>90</v>
      </c>
      <c r="C26" s="166" t="str">
        <f>HYPERLINK("https://www.facebook.com/ZespriID/videos/1722806861129772/","5 Jun")</f>
        <v>5 Jun</v>
      </c>
      <c r="D26" s="3">
        <f>D77</f>
        <v>6571</v>
      </c>
      <c r="E26" s="3">
        <f t="shared" ref="E26:U26" si="10">E77</f>
        <v>671679</v>
      </c>
      <c r="F26" s="94">
        <f t="shared" si="10"/>
        <v>957179</v>
      </c>
      <c r="G26" s="25">
        <f t="shared" si="10"/>
        <v>6.9883274450408331E-3</v>
      </c>
      <c r="H26" s="3">
        <f t="shared" si="10"/>
        <v>5618</v>
      </c>
      <c r="I26" s="25">
        <f t="shared" si="10"/>
        <v>5.9852650886151864E-3</v>
      </c>
      <c r="J26" s="3">
        <f t="shared" si="10"/>
        <v>2433</v>
      </c>
      <c r="K26" s="27">
        <f t="shared" si="10"/>
        <v>2.5909718952903437E-3</v>
      </c>
      <c r="L26" s="25">
        <f t="shared" si="10"/>
        <v>1.0970638985392387E-2</v>
      </c>
      <c r="M26" s="25">
        <f t="shared" si="10"/>
        <v>5.0210320726640518E-3</v>
      </c>
      <c r="N26" s="27">
        <f t="shared" si="10"/>
        <v>3.5150148893499321E-3</v>
      </c>
      <c r="O26" s="27">
        <f t="shared" si="10"/>
        <v>2.625289996295624E-3</v>
      </c>
      <c r="P26" s="3">
        <f t="shared" si="10"/>
        <v>44</v>
      </c>
      <c r="Q26" s="3" t="str">
        <f t="shared" si="10"/>
        <v>-</v>
      </c>
      <c r="R26" s="3">
        <f t="shared" si="10"/>
        <v>2</v>
      </c>
      <c r="S26" s="3">
        <f t="shared" si="10"/>
        <v>948</v>
      </c>
      <c r="T26" s="3">
        <f t="shared" si="10"/>
        <v>3</v>
      </c>
      <c r="U26" s="3">
        <f t="shared" si="10"/>
        <v>6219</v>
      </c>
      <c r="V26" s="76">
        <v>557.29999999999995</v>
      </c>
      <c r="W26" s="22">
        <f>V77</f>
        <v>556.94999999999993</v>
      </c>
      <c r="X26" s="22">
        <f t="shared" si="5"/>
        <v>0.35000000000002274</v>
      </c>
      <c r="Y26" s="10">
        <v>3</v>
      </c>
      <c r="Z26" s="2"/>
      <c r="AA26" s="2"/>
      <c r="AB26" s="2"/>
      <c r="AC26" s="2"/>
      <c r="AD26" s="2"/>
      <c r="AE26" s="2"/>
      <c r="AF26" s="2"/>
      <c r="AG26" s="2"/>
      <c r="AH26" s="2"/>
    </row>
    <row r="27" spans="2:34" ht="15.75" customHeight="1" x14ac:dyDescent="0.2">
      <c r="B27" s="10" t="s">
        <v>91</v>
      </c>
      <c r="C27" s="166" t="str">
        <f>HYPERLINK("https://www.facebook.com/ZespriID/videos/1722806861129772/","15 Jun")</f>
        <v>15 Jun</v>
      </c>
      <c r="D27" s="3">
        <f>D80</f>
        <v>15765</v>
      </c>
      <c r="E27" s="3">
        <f t="shared" ref="E27:U27" si="11">E80</f>
        <v>979329</v>
      </c>
      <c r="F27" s="94">
        <f t="shared" si="11"/>
        <v>1377629</v>
      </c>
      <c r="G27" s="25">
        <f t="shared" si="11"/>
        <v>1.1627566402988163E-2</v>
      </c>
      <c r="H27" s="3">
        <f t="shared" si="11"/>
        <v>14077</v>
      </c>
      <c r="I27" s="25">
        <f t="shared" si="11"/>
        <v>1.0389073134187811E-2</v>
      </c>
      <c r="J27" s="3">
        <f t="shared" si="11"/>
        <v>7034</v>
      </c>
      <c r="K27" s="25">
        <f t="shared" si="11"/>
        <v>5.1738182344962542E-3</v>
      </c>
      <c r="L27" s="25">
        <f t="shared" si="11"/>
        <v>2.0348586316158324E-2</v>
      </c>
      <c r="M27" s="25">
        <f t="shared" si="11"/>
        <v>1.0732738684248719E-2</v>
      </c>
      <c r="N27" s="25">
        <f t="shared" si="11"/>
        <v>6.9470025046374194E-3</v>
      </c>
      <c r="O27" s="25">
        <f t="shared" si="11"/>
        <v>5.058182297781791E-3</v>
      </c>
      <c r="P27" s="3">
        <f t="shared" si="11"/>
        <v>103</v>
      </c>
      <c r="Q27" s="3" t="str">
        <f t="shared" si="11"/>
        <v>-</v>
      </c>
      <c r="R27" s="3">
        <f t="shared" si="11"/>
        <v>6</v>
      </c>
      <c r="S27" s="3">
        <f t="shared" si="11"/>
        <v>1655</v>
      </c>
      <c r="T27" s="3">
        <f t="shared" si="11"/>
        <v>27</v>
      </c>
      <c r="U27" s="3">
        <f t="shared" si="11"/>
        <v>11237</v>
      </c>
      <c r="V27" s="76">
        <v>557.29999999999995</v>
      </c>
      <c r="W27" s="22">
        <f>V80</f>
        <v>556.94999999999993</v>
      </c>
      <c r="X27" s="22">
        <f t="shared" ref="X27:X40" si="12">V27-W27</f>
        <v>0.35000000000002274</v>
      </c>
      <c r="Y27" s="10">
        <v>4</v>
      </c>
      <c r="Z27" s="2"/>
      <c r="AA27" s="2"/>
      <c r="AB27" s="2"/>
      <c r="AC27" s="2"/>
      <c r="AD27" s="2"/>
      <c r="AE27" s="2"/>
      <c r="AF27" s="2"/>
      <c r="AG27" s="2"/>
      <c r="AH27" s="2"/>
    </row>
    <row r="28" spans="2:34" ht="15.75" customHeight="1" x14ac:dyDescent="0.2">
      <c r="B28" s="10" t="s">
        <v>92</v>
      </c>
      <c r="C28" s="166" t="str">
        <f>HYPERLINK("https://www.facebook.com/449445401799264/posts/1741807499229708/","22 Jun")</f>
        <v>22 Jun</v>
      </c>
      <c r="D28" s="3">
        <f>D83</f>
        <v>4128</v>
      </c>
      <c r="E28" s="3">
        <f t="shared" ref="E28:U28" si="13">E83</f>
        <v>852736</v>
      </c>
      <c r="F28" s="94">
        <f t="shared" si="13"/>
        <v>1118271</v>
      </c>
      <c r="G28" s="27">
        <f t="shared" si="13"/>
        <v>3.7161001425079655E-3</v>
      </c>
      <c r="H28" s="3" t="str">
        <f t="shared" si="13"/>
        <v>-</v>
      </c>
      <c r="I28" s="25" t="str">
        <f t="shared" si="13"/>
        <v>-</v>
      </c>
      <c r="J28" s="3" t="str">
        <f t="shared" si="13"/>
        <v>-</v>
      </c>
      <c r="K28" s="25" t="str">
        <f t="shared" si="13"/>
        <v>-</v>
      </c>
      <c r="L28" s="25" t="str">
        <f t="shared" si="13"/>
        <v>-</v>
      </c>
      <c r="M28" s="25" t="str">
        <f t="shared" si="13"/>
        <v>-</v>
      </c>
      <c r="N28" s="25" t="str">
        <f t="shared" si="13"/>
        <v>-</v>
      </c>
      <c r="O28" s="25" t="str">
        <f t="shared" si="13"/>
        <v>-</v>
      </c>
      <c r="P28" s="3">
        <f t="shared" si="13"/>
        <v>114</v>
      </c>
      <c r="Q28" s="3">
        <f t="shared" si="13"/>
        <v>2536</v>
      </c>
      <c r="R28" s="3">
        <f t="shared" si="13"/>
        <v>1</v>
      </c>
      <c r="S28" s="3">
        <f t="shared" si="13"/>
        <v>1329</v>
      </c>
      <c r="T28" s="3">
        <f t="shared" si="13"/>
        <v>5</v>
      </c>
      <c r="U28" s="3">
        <f t="shared" si="13"/>
        <v>6269</v>
      </c>
      <c r="V28" s="76">
        <v>557.29999999999995</v>
      </c>
      <c r="W28" s="22">
        <f>V83</f>
        <v>556.94999999999993</v>
      </c>
      <c r="X28" s="22">
        <f t="shared" si="12"/>
        <v>0.35000000000002274</v>
      </c>
      <c r="Y28" s="10">
        <v>5</v>
      </c>
      <c r="Z28" s="2"/>
      <c r="AA28" s="2"/>
      <c r="AB28" s="2"/>
      <c r="AC28" s="2"/>
      <c r="AD28" s="2"/>
      <c r="AE28" s="2"/>
      <c r="AF28" s="2"/>
      <c r="AG28" s="2"/>
      <c r="AH28" s="2"/>
    </row>
    <row r="29" spans="2:34" ht="15.75" customHeight="1" x14ac:dyDescent="0.2">
      <c r="B29" s="10" t="s">
        <v>93</v>
      </c>
      <c r="C29" s="166" t="str">
        <f>HYPERLINK("https://www.facebook.com/ZespriID/posts/1732266296850495","27 Jun")</f>
        <v>27 Jun</v>
      </c>
      <c r="D29" s="3">
        <f>D86</f>
        <v>4245</v>
      </c>
      <c r="E29" s="3">
        <f t="shared" ref="E29:U29" si="14">E86</f>
        <v>856768</v>
      </c>
      <c r="F29" s="94">
        <f t="shared" si="14"/>
        <v>1073420</v>
      </c>
      <c r="G29" s="27">
        <f t="shared" si="14"/>
        <v>4.0044041852173411E-3</v>
      </c>
      <c r="H29" s="3" t="str">
        <f t="shared" si="14"/>
        <v>-</v>
      </c>
      <c r="I29" s="25" t="str">
        <f t="shared" si="14"/>
        <v>-</v>
      </c>
      <c r="J29" s="3" t="str">
        <f t="shared" si="14"/>
        <v>-</v>
      </c>
      <c r="K29" s="25" t="str">
        <f t="shared" si="14"/>
        <v>-</v>
      </c>
      <c r="L29" s="25" t="str">
        <f t="shared" si="14"/>
        <v>-</v>
      </c>
      <c r="M29" s="25" t="str">
        <f t="shared" si="14"/>
        <v>-</v>
      </c>
      <c r="N29" s="25" t="str">
        <f t="shared" si="14"/>
        <v>-</v>
      </c>
      <c r="O29" s="25" t="str">
        <f t="shared" si="14"/>
        <v>-</v>
      </c>
      <c r="P29" s="3">
        <f t="shared" si="14"/>
        <v>117</v>
      </c>
      <c r="Q29" s="3">
        <f t="shared" si="14"/>
        <v>2598</v>
      </c>
      <c r="R29" s="3">
        <f t="shared" si="14"/>
        <v>6</v>
      </c>
      <c r="S29" s="3">
        <f t="shared" si="14"/>
        <v>1634</v>
      </c>
      <c r="T29" s="3">
        <f t="shared" si="14"/>
        <v>7</v>
      </c>
      <c r="U29" s="3">
        <f t="shared" si="14"/>
        <v>6540</v>
      </c>
      <c r="V29" s="76">
        <v>557.29999999999995</v>
      </c>
      <c r="W29" s="22">
        <f>V86</f>
        <v>556.94999999999993</v>
      </c>
      <c r="X29" s="22">
        <f t="shared" si="12"/>
        <v>0.35000000000002274</v>
      </c>
      <c r="Y29" s="10">
        <v>5</v>
      </c>
      <c r="Z29" s="2"/>
      <c r="AA29" s="2"/>
      <c r="AB29" s="2"/>
      <c r="AC29" s="2"/>
      <c r="AD29" s="2"/>
      <c r="AE29" s="2"/>
      <c r="AF29" s="2"/>
      <c r="AG29" s="2"/>
      <c r="AH29" s="2"/>
    </row>
    <row r="30" spans="2:34" ht="15.75" customHeight="1" x14ac:dyDescent="0.2">
      <c r="B30" s="10" t="s">
        <v>94</v>
      </c>
      <c r="C30" s="166" t="str">
        <f>HYPERLINK("https://www.facebook.com/449445401799264/posts/1745079035569221/","30 Jun")</f>
        <v>30 Jun</v>
      </c>
      <c r="D30" s="3">
        <f>D89</f>
        <v>4748</v>
      </c>
      <c r="E30" s="3">
        <f t="shared" ref="E30:U30" si="15">E89</f>
        <v>977087</v>
      </c>
      <c r="F30" s="94">
        <f t="shared" si="15"/>
        <v>1332808</v>
      </c>
      <c r="G30" s="27">
        <f t="shared" si="15"/>
        <v>3.6190556052813115E-3</v>
      </c>
      <c r="H30" s="3" t="str">
        <f t="shared" si="15"/>
        <v>-</v>
      </c>
      <c r="I30" s="25" t="str">
        <f t="shared" si="15"/>
        <v>-</v>
      </c>
      <c r="J30" s="3" t="str">
        <f t="shared" si="15"/>
        <v>-</v>
      </c>
      <c r="K30" s="25" t="str">
        <f t="shared" si="15"/>
        <v>-</v>
      </c>
      <c r="L30" s="25" t="str">
        <f t="shared" si="15"/>
        <v>-</v>
      </c>
      <c r="M30" s="25" t="str">
        <f t="shared" si="15"/>
        <v>-</v>
      </c>
      <c r="N30" s="25" t="str">
        <f t="shared" si="15"/>
        <v>-</v>
      </c>
      <c r="O30" s="25" t="str">
        <f t="shared" si="15"/>
        <v>-</v>
      </c>
      <c r="P30" s="3">
        <f t="shared" si="15"/>
        <v>139</v>
      </c>
      <c r="Q30" s="3">
        <f t="shared" si="15"/>
        <v>3102</v>
      </c>
      <c r="R30" s="3">
        <f t="shared" si="15"/>
        <v>5</v>
      </c>
      <c r="S30" s="3">
        <f t="shared" si="15"/>
        <v>1639</v>
      </c>
      <c r="T30" s="3">
        <f t="shared" si="15"/>
        <v>2</v>
      </c>
      <c r="U30" s="3">
        <f t="shared" si="15"/>
        <v>8003</v>
      </c>
      <c r="V30" s="76">
        <v>557.29999999999995</v>
      </c>
      <c r="W30" s="22">
        <f>V89</f>
        <v>556.93237499999998</v>
      </c>
      <c r="X30" s="22">
        <f t="shared" si="12"/>
        <v>0.36762499999997544</v>
      </c>
      <c r="Y30" s="10">
        <v>4</v>
      </c>
      <c r="Z30" s="2"/>
      <c r="AA30" s="2"/>
      <c r="AB30" s="2"/>
      <c r="AC30" s="2"/>
      <c r="AD30" s="2"/>
      <c r="AE30" s="2"/>
      <c r="AF30" s="2"/>
      <c r="AG30" s="2"/>
      <c r="AH30" s="2"/>
    </row>
    <row r="31" spans="2:34" ht="15.75" customHeight="1" x14ac:dyDescent="0.2">
      <c r="B31" s="10" t="s">
        <v>95</v>
      </c>
      <c r="C31" s="166" t="str">
        <f>HYPERLINK("https://www.facebook.com/449445401799264/posts/1752629068147551/","4 Jul")</f>
        <v>4 Jul</v>
      </c>
      <c r="D31" s="3">
        <f>D92</f>
        <v>4592</v>
      </c>
      <c r="E31" s="3">
        <f t="shared" ref="E31:U31" si="16">E92</f>
        <v>1006210</v>
      </c>
      <c r="F31" s="94">
        <f t="shared" si="16"/>
        <v>1335894</v>
      </c>
      <c r="G31" s="27">
        <f t="shared" si="16"/>
        <v>3.4833289568851206E-3</v>
      </c>
      <c r="H31" s="3" t="str">
        <f t="shared" si="16"/>
        <v>-</v>
      </c>
      <c r="I31" s="25" t="str">
        <f t="shared" si="16"/>
        <v>-</v>
      </c>
      <c r="J31" s="3" t="str">
        <f t="shared" si="16"/>
        <v>-</v>
      </c>
      <c r="K31" s="25" t="str">
        <f t="shared" si="16"/>
        <v>-</v>
      </c>
      <c r="L31" s="25" t="str">
        <f t="shared" si="16"/>
        <v>-</v>
      </c>
      <c r="M31" s="25" t="str">
        <f t="shared" si="16"/>
        <v>-</v>
      </c>
      <c r="N31" s="25" t="str">
        <f t="shared" si="16"/>
        <v>-</v>
      </c>
      <c r="O31" s="25" t="str">
        <f t="shared" si="16"/>
        <v>-</v>
      </c>
      <c r="P31" s="3">
        <f t="shared" si="16"/>
        <v>141</v>
      </c>
      <c r="Q31" s="3">
        <f t="shared" si="16"/>
        <v>2766</v>
      </c>
      <c r="R31" s="3">
        <f t="shared" si="16"/>
        <v>7</v>
      </c>
      <c r="S31" s="3">
        <f t="shared" si="16"/>
        <v>1811</v>
      </c>
      <c r="T31" s="3">
        <f t="shared" si="16"/>
        <v>8</v>
      </c>
      <c r="U31" s="3">
        <f t="shared" si="16"/>
        <v>7643</v>
      </c>
      <c r="V31" s="76">
        <v>758.55</v>
      </c>
      <c r="W31" s="22">
        <f>V92</f>
        <v>758.54475000000002</v>
      </c>
      <c r="X31" s="22">
        <f t="shared" si="12"/>
        <v>5.2499999999326974E-3</v>
      </c>
      <c r="Y31" s="10">
        <v>4</v>
      </c>
      <c r="Z31" s="2"/>
      <c r="AA31" s="2"/>
      <c r="AB31" s="2"/>
      <c r="AC31" s="2"/>
      <c r="AD31" s="2"/>
      <c r="AE31" s="2"/>
      <c r="AF31" s="2"/>
      <c r="AG31" s="2"/>
      <c r="AH31" s="2"/>
    </row>
    <row r="32" spans="2:34" ht="15.75" customHeight="1" x14ac:dyDescent="0.2">
      <c r="B32" s="10" t="s">
        <v>96</v>
      </c>
      <c r="C32" s="166" t="str">
        <f>HYPERLINK("https://www.facebook.com/449445401799264/posts/1770568929686898/","13 Jul")</f>
        <v>13 Jul</v>
      </c>
      <c r="D32" s="3">
        <f>D95</f>
        <v>10902</v>
      </c>
      <c r="E32" s="3">
        <f t="shared" ref="E32:U32" si="17">E95</f>
        <v>1138560</v>
      </c>
      <c r="F32" s="94">
        <f t="shared" si="17"/>
        <v>1536084</v>
      </c>
      <c r="G32" s="27">
        <f t="shared" si="17"/>
        <v>7.1927079208314679E-3</v>
      </c>
      <c r="H32" s="3" t="str">
        <f t="shared" si="17"/>
        <v>-</v>
      </c>
      <c r="I32" s="25" t="str">
        <f t="shared" si="17"/>
        <v>-</v>
      </c>
      <c r="J32" s="3" t="str">
        <f t="shared" si="17"/>
        <v>-</v>
      </c>
      <c r="K32" s="25" t="str">
        <f t="shared" si="17"/>
        <v>-</v>
      </c>
      <c r="L32" s="25" t="str">
        <f t="shared" si="17"/>
        <v>-</v>
      </c>
      <c r="M32" s="25" t="str">
        <f t="shared" si="17"/>
        <v>-</v>
      </c>
      <c r="N32" s="25" t="str">
        <f t="shared" si="17"/>
        <v>-</v>
      </c>
      <c r="O32" s="25" t="str">
        <f t="shared" si="17"/>
        <v>-</v>
      </c>
      <c r="P32" s="3">
        <f t="shared" si="17"/>
        <v>257</v>
      </c>
      <c r="Q32" s="3">
        <f t="shared" si="17"/>
        <v>6677</v>
      </c>
      <c r="R32" s="3">
        <f t="shared" si="17"/>
        <v>18</v>
      </c>
      <c r="S32" s="3">
        <f t="shared" si="17"/>
        <v>4168</v>
      </c>
      <c r="T32" s="3">
        <f t="shared" si="17"/>
        <v>39</v>
      </c>
      <c r="U32" s="3">
        <f t="shared" si="17"/>
        <v>16409</v>
      </c>
      <c r="V32" s="76">
        <v>758.55</v>
      </c>
      <c r="W32" s="22">
        <f>V95</f>
        <v>758.54475000000002</v>
      </c>
      <c r="X32" s="22">
        <f t="shared" si="12"/>
        <v>5.2499999999326974E-3</v>
      </c>
      <c r="Y32" s="10">
        <v>6</v>
      </c>
      <c r="Z32" s="2"/>
      <c r="AA32" s="2"/>
      <c r="AB32" s="2"/>
      <c r="AC32" s="2"/>
      <c r="AD32" s="2"/>
      <c r="AE32" s="2"/>
      <c r="AF32" s="2"/>
      <c r="AG32" s="2"/>
      <c r="AH32" s="2"/>
    </row>
    <row r="33" spans="2:34" ht="15.75" customHeight="1" x14ac:dyDescent="0.2">
      <c r="B33" s="10" t="s">
        <v>97</v>
      </c>
      <c r="C33" s="166" t="str">
        <f>HYPERLINK("https://www.facebook.com/ZespriID/videos/1770569716353486/","16 Jul")</f>
        <v>16 Jul</v>
      </c>
      <c r="D33" s="3">
        <f>D98</f>
        <v>22090</v>
      </c>
      <c r="E33" s="3">
        <f t="shared" ref="E33:U33" si="18">E98</f>
        <v>1076864</v>
      </c>
      <c r="F33" s="94">
        <f t="shared" si="18"/>
        <v>1487982</v>
      </c>
      <c r="G33" s="29">
        <f t="shared" si="18"/>
        <v>1.5280065291283736E-2</v>
      </c>
      <c r="H33" s="3">
        <f t="shared" si="18"/>
        <v>20723</v>
      </c>
      <c r="I33" s="25">
        <f t="shared" si="18"/>
        <v>1.4333784293129558E-2</v>
      </c>
      <c r="J33" s="3">
        <f t="shared" si="18"/>
        <v>9383</v>
      </c>
      <c r="K33" s="25">
        <f t="shared" si="18"/>
        <v>6.4505382628084595E-3</v>
      </c>
      <c r="L33" s="25">
        <f t="shared" si="18"/>
        <v>1.3046021333229206E-2</v>
      </c>
      <c r="M33" s="25">
        <f t="shared" si="18"/>
        <v>8.1471941542667244E-3</v>
      </c>
      <c r="N33" s="25">
        <f t="shared" si="18"/>
        <v>6.4181777542786159E-3</v>
      </c>
      <c r="O33" s="25">
        <f t="shared" si="18"/>
        <v>5.6276281553034324E-3</v>
      </c>
      <c r="P33" s="3">
        <f t="shared" si="18"/>
        <v>90</v>
      </c>
      <c r="Q33" s="3" t="s">
        <v>34</v>
      </c>
      <c r="R33" s="3">
        <f t="shared" si="18"/>
        <v>1</v>
      </c>
      <c r="S33" s="3">
        <f t="shared" si="18"/>
        <v>1362</v>
      </c>
      <c r="T33" s="3">
        <f t="shared" si="18"/>
        <v>4</v>
      </c>
      <c r="U33" s="3">
        <f t="shared" si="18"/>
        <v>11887</v>
      </c>
      <c r="V33" s="76">
        <v>758.55</v>
      </c>
      <c r="W33" s="22">
        <f>V98</f>
        <v>758.54475000000002</v>
      </c>
      <c r="X33" s="22">
        <f t="shared" si="12"/>
        <v>5.2499999999326974E-3</v>
      </c>
      <c r="Y33" s="10">
        <v>4</v>
      </c>
      <c r="Z33" s="2"/>
      <c r="AA33" s="2"/>
      <c r="AB33" s="2"/>
      <c r="AC33" s="2"/>
      <c r="AD33" s="2"/>
      <c r="AE33" s="2"/>
      <c r="AF33" s="2"/>
      <c r="AG33" s="2"/>
      <c r="AH33" s="2"/>
    </row>
    <row r="34" spans="2:34" ht="15.75" customHeight="1" x14ac:dyDescent="0.2">
      <c r="B34" s="10" t="s">
        <v>98</v>
      </c>
      <c r="C34" s="166" t="str">
        <f>HYPERLINK("https://www.facebook.com/ZespriID/videos/1793215220755602/","26 Jul")</f>
        <v>26 Jul</v>
      </c>
      <c r="D34" s="3">
        <f>D101</f>
        <v>20174</v>
      </c>
      <c r="E34" s="3">
        <f t="shared" ref="E34:U34" si="19">E101</f>
        <v>1009664</v>
      </c>
      <c r="F34" s="94">
        <f t="shared" si="19"/>
        <v>1360645</v>
      </c>
      <c r="G34" s="29">
        <f t="shared" si="19"/>
        <v>1.5109696765848415E-2</v>
      </c>
      <c r="H34" s="3">
        <f t="shared" si="19"/>
        <v>18467</v>
      </c>
      <c r="I34" s="25">
        <f t="shared" si="19"/>
        <v>1.3820593181893048E-2</v>
      </c>
      <c r="J34" s="3">
        <f t="shared" si="19"/>
        <v>5729</v>
      </c>
      <c r="K34" s="27">
        <f t="shared" si="19"/>
        <v>4.2800443675411227E-3</v>
      </c>
      <c r="L34" s="25">
        <f t="shared" si="19"/>
        <v>1.335941040338816E-2</v>
      </c>
      <c r="M34" s="25">
        <f t="shared" si="19"/>
        <v>8.9747741147464689E-3</v>
      </c>
      <c r="N34" s="25">
        <f t="shared" si="19"/>
        <v>6.0444850803448146E-3</v>
      </c>
      <c r="O34" s="27">
        <f t="shared" si="19"/>
        <v>4.1789596421534132E-3</v>
      </c>
      <c r="P34" s="3">
        <f t="shared" si="19"/>
        <v>67</v>
      </c>
      <c r="Q34" s="3" t="str">
        <f t="shared" si="19"/>
        <v>-</v>
      </c>
      <c r="R34" s="3">
        <f t="shared" si="19"/>
        <v>4</v>
      </c>
      <c r="S34" s="3">
        <f t="shared" si="19"/>
        <v>1686</v>
      </c>
      <c r="T34" s="3">
        <f t="shared" si="19"/>
        <v>17</v>
      </c>
      <c r="U34" s="3">
        <f t="shared" si="19"/>
        <v>13449</v>
      </c>
      <c r="V34" s="76">
        <v>758.55</v>
      </c>
      <c r="W34" s="22">
        <f>V101</f>
        <v>758.54475000000002</v>
      </c>
      <c r="X34" s="22">
        <f t="shared" si="12"/>
        <v>5.2499999999326974E-3</v>
      </c>
      <c r="Y34" s="10">
        <v>5</v>
      </c>
      <c r="Z34" s="2"/>
      <c r="AA34" s="2"/>
      <c r="AB34" s="2"/>
      <c r="AC34" s="2"/>
      <c r="AD34" s="2"/>
      <c r="AE34" s="2"/>
      <c r="AF34" s="2"/>
      <c r="AG34" s="2"/>
      <c r="AH34" s="2"/>
    </row>
    <row r="35" spans="2:34" ht="15.75" customHeight="1" x14ac:dyDescent="0.2">
      <c r="B35" s="10" t="s">
        <v>99</v>
      </c>
      <c r="C35" s="166" t="str">
        <f>HYPERLINK("https://www.facebook.com/ZespriID/videos/1793217437422047/","30 Jul")</f>
        <v>30 Jul</v>
      </c>
      <c r="D35" s="3">
        <f>D104</f>
        <v>14291</v>
      </c>
      <c r="E35" s="3">
        <f t="shared" ref="E35:U35" si="20">E104</f>
        <v>1004161</v>
      </c>
      <c r="F35" s="94">
        <f t="shared" si="20"/>
        <v>1415498</v>
      </c>
      <c r="G35" s="29">
        <f t="shared" si="20"/>
        <v>1.0306449129679193E-2</v>
      </c>
      <c r="H35" s="3">
        <f t="shared" si="20"/>
        <v>13048</v>
      </c>
      <c r="I35" s="25">
        <f t="shared" si="20"/>
        <v>9.3977677206243514E-3</v>
      </c>
      <c r="J35" s="3">
        <f t="shared" si="20"/>
        <v>6169</v>
      </c>
      <c r="K35" s="27">
        <f t="shared" si="20"/>
        <v>4.4391016335469293E-3</v>
      </c>
      <c r="L35" s="25">
        <f t="shared" si="20"/>
        <v>1.2434466570436838E-2</v>
      </c>
      <c r="M35" s="25">
        <f t="shared" si="20"/>
        <v>7.1029031910277577E-3</v>
      </c>
      <c r="N35" s="25">
        <f t="shared" si="20"/>
        <v>5.4261255935292834E-3</v>
      </c>
      <c r="O35" s="27">
        <f t="shared" si="20"/>
        <v>4.4217096951191109E-3</v>
      </c>
      <c r="P35" s="3">
        <f t="shared" si="20"/>
        <v>64</v>
      </c>
      <c r="Q35" s="3" t="str">
        <f t="shared" si="20"/>
        <v>-</v>
      </c>
      <c r="R35" s="3">
        <f t="shared" si="20"/>
        <v>3</v>
      </c>
      <c r="S35" s="3">
        <f t="shared" si="20"/>
        <v>1236</v>
      </c>
      <c r="T35" s="3">
        <f t="shared" si="20"/>
        <v>4</v>
      </c>
      <c r="U35" s="3">
        <f t="shared" si="20"/>
        <v>10682</v>
      </c>
      <c r="V35" s="76">
        <v>758.55</v>
      </c>
      <c r="W35" s="22">
        <f>V104</f>
        <v>758.54475000000002</v>
      </c>
      <c r="X35" s="22">
        <f t="shared" si="12"/>
        <v>5.2499999999326974E-3</v>
      </c>
      <c r="Y35" s="10">
        <v>4</v>
      </c>
      <c r="Z35" s="2"/>
      <c r="AA35" s="2"/>
      <c r="AB35" s="2"/>
      <c r="AC35" s="2"/>
      <c r="AD35" s="2"/>
      <c r="AE35" s="2"/>
      <c r="AF35" s="2"/>
      <c r="AG35" s="2"/>
      <c r="AH35" s="2"/>
    </row>
    <row r="36" spans="2:34" ht="15.75" customHeight="1" x14ac:dyDescent="0.2">
      <c r="B36" s="10" t="s">
        <v>100</v>
      </c>
      <c r="C36" s="166" t="str">
        <f>HYPERLINK("https://www.facebook.com/ZespriID/videos/1770570209686770/","2 Aug")</f>
        <v>2 Aug</v>
      </c>
      <c r="D36" s="3">
        <f>D107</f>
        <v>21117</v>
      </c>
      <c r="E36" s="3">
        <f t="shared" ref="E36:S37" si="21">E107</f>
        <v>1044928</v>
      </c>
      <c r="F36" s="94">
        <f t="shared" si="21"/>
        <v>1473745</v>
      </c>
      <c r="G36" s="29">
        <f t="shared" si="21"/>
        <v>1.4632645509579809E-2</v>
      </c>
      <c r="H36" s="3">
        <f t="shared" si="21"/>
        <v>19297</v>
      </c>
      <c r="I36" s="25">
        <f t="shared" si="21"/>
        <v>1.3356971615085277E-2</v>
      </c>
      <c r="J36" s="3">
        <f t="shared" si="21"/>
        <v>10490</v>
      </c>
      <c r="K36" s="25">
        <f t="shared" si="21"/>
        <v>7.2693345811983643E-3</v>
      </c>
      <c r="L36" s="25">
        <f t="shared" si="21"/>
        <v>1.3874050903875175E-2</v>
      </c>
      <c r="M36" s="25">
        <f t="shared" si="21"/>
        <v>9.7136525745573563E-3</v>
      </c>
      <c r="N36" s="25">
        <f t="shared" si="21"/>
        <v>8.1410259455245194E-3</v>
      </c>
      <c r="O36" s="25">
        <f t="shared" si="21"/>
        <v>7.435875298976235E-3</v>
      </c>
      <c r="P36" s="3">
        <f t="shared" si="21"/>
        <v>68</v>
      </c>
      <c r="Q36" s="3" t="str">
        <f t="shared" si="21"/>
        <v>-</v>
      </c>
      <c r="R36" s="3">
        <f t="shared" si="21"/>
        <v>13</v>
      </c>
      <c r="S36" s="3">
        <f t="shared" si="21"/>
        <v>1793</v>
      </c>
      <c r="T36" s="3">
        <f>T107</f>
        <v>14</v>
      </c>
      <c r="U36" s="3">
        <f>U107</f>
        <v>13644</v>
      </c>
      <c r="V36" s="76">
        <v>758.55</v>
      </c>
      <c r="W36" s="22">
        <f>V107</f>
        <v>758.54475000000002</v>
      </c>
      <c r="X36" s="22">
        <f t="shared" si="12"/>
        <v>5.2499999999326974E-3</v>
      </c>
      <c r="Y36" s="10">
        <v>5</v>
      </c>
      <c r="Z36" s="2"/>
      <c r="AA36" s="2"/>
      <c r="AB36" s="2"/>
      <c r="AC36" s="2"/>
      <c r="AD36" s="2"/>
      <c r="AE36" s="2"/>
      <c r="AF36" s="2"/>
      <c r="AG36" s="2"/>
      <c r="AH36" s="2"/>
    </row>
    <row r="37" spans="2:34" ht="15.75" customHeight="1" x14ac:dyDescent="0.2">
      <c r="B37" s="10" t="s">
        <v>101</v>
      </c>
      <c r="C37" s="166" t="str">
        <f>HYPERLINK("https://www.facebook.com/449445401799264/posts/1796372477106543/","17 Aug")</f>
        <v>17 Aug</v>
      </c>
      <c r="D37" s="3">
        <f>D110</f>
        <v>5922</v>
      </c>
      <c r="E37" s="3">
        <f>E110</f>
        <v>585536</v>
      </c>
      <c r="F37" s="94">
        <f>F110</f>
        <v>766189</v>
      </c>
      <c r="G37" s="27">
        <f t="shared" si="21"/>
        <v>8.3952711592098789E-3</v>
      </c>
      <c r="H37" s="3" t="s">
        <v>34</v>
      </c>
      <c r="I37" s="3" t="s">
        <v>34</v>
      </c>
      <c r="J37" s="3" t="s">
        <v>34</v>
      </c>
      <c r="K37" s="3" t="s">
        <v>34</v>
      </c>
      <c r="L37" s="3" t="s">
        <v>34</v>
      </c>
      <c r="M37" s="3" t="s">
        <v>34</v>
      </c>
      <c r="N37" s="3" t="s">
        <v>34</v>
      </c>
      <c r="O37" s="3" t="s">
        <v>34</v>
      </c>
      <c r="P37" s="3">
        <f t="shared" ref="P37:U37" si="22">P110</f>
        <v>118</v>
      </c>
      <c r="Q37" s="3">
        <f t="shared" si="22"/>
        <v>2528</v>
      </c>
      <c r="R37" s="3">
        <f t="shared" si="22"/>
        <v>38</v>
      </c>
      <c r="S37" s="3">
        <f t="shared" si="22"/>
        <v>3220</v>
      </c>
      <c r="T37" s="3">
        <f t="shared" si="22"/>
        <v>136</v>
      </c>
      <c r="U37" s="3">
        <f t="shared" si="22"/>
        <v>7497</v>
      </c>
      <c r="V37" s="76">
        <v>758.55</v>
      </c>
      <c r="W37" s="22">
        <f>V110</f>
        <v>758.54475000000002</v>
      </c>
      <c r="X37" s="22">
        <f t="shared" si="12"/>
        <v>5.2499999999326974E-3</v>
      </c>
      <c r="Y37" s="10">
        <v>5</v>
      </c>
      <c r="Z37" s="2"/>
      <c r="AA37" s="2"/>
      <c r="AB37" s="2"/>
      <c r="AC37" s="2"/>
      <c r="AD37" s="2"/>
      <c r="AE37" s="2"/>
      <c r="AF37" s="2"/>
      <c r="AG37" s="2"/>
      <c r="AH37" s="2"/>
    </row>
    <row r="38" spans="2:34" ht="15.75" customHeight="1" x14ac:dyDescent="0.2">
      <c r="B38" s="10" t="s">
        <v>102</v>
      </c>
      <c r="C38" s="142" t="str">
        <f>HYPERLINK("https://www.facebook.com/449445401799264/posts/1796372113773246/","22 Aug")</f>
        <v>22 Aug</v>
      </c>
      <c r="D38" s="3">
        <f>D113</f>
        <v>7647</v>
      </c>
      <c r="E38" s="3">
        <f>E113</f>
        <v>936448</v>
      </c>
      <c r="F38" s="94">
        <f>F113</f>
        <v>1145595</v>
      </c>
      <c r="G38" s="27">
        <f>G113</f>
        <v>6.7471534706109657E-3</v>
      </c>
      <c r="H38" s="3" t="s">
        <v>34</v>
      </c>
      <c r="I38" s="3" t="s">
        <v>34</v>
      </c>
      <c r="J38" s="3" t="s">
        <v>34</v>
      </c>
      <c r="K38" s="3" t="s">
        <v>34</v>
      </c>
      <c r="L38" s="3" t="s">
        <v>34</v>
      </c>
      <c r="M38" s="3" t="s">
        <v>34</v>
      </c>
      <c r="N38" s="3" t="s">
        <v>34</v>
      </c>
      <c r="O38" s="3" t="s">
        <v>34</v>
      </c>
      <c r="P38" s="3">
        <f t="shared" ref="P38:U38" si="23">P113</f>
        <v>145</v>
      </c>
      <c r="Q38" s="3">
        <f t="shared" si="23"/>
        <v>3737</v>
      </c>
      <c r="R38" s="3">
        <f t="shared" si="23"/>
        <v>15</v>
      </c>
      <c r="S38" s="3">
        <f t="shared" si="23"/>
        <v>3789</v>
      </c>
      <c r="T38" s="3">
        <f t="shared" si="23"/>
        <v>106</v>
      </c>
      <c r="U38" s="3">
        <f t="shared" si="23"/>
        <v>10074</v>
      </c>
      <c r="V38" s="76">
        <v>758.55</v>
      </c>
      <c r="W38" s="22">
        <f>V113</f>
        <v>758.54475000000002</v>
      </c>
      <c r="X38" s="22">
        <f t="shared" si="12"/>
        <v>5.2499999999326974E-3</v>
      </c>
      <c r="Y38" s="10">
        <v>4</v>
      </c>
      <c r="Z38" s="2"/>
      <c r="AA38" s="2"/>
      <c r="AB38" s="2"/>
      <c r="AC38" s="2"/>
      <c r="AD38" s="2"/>
      <c r="AE38" s="2"/>
      <c r="AF38" s="2"/>
      <c r="AG38" s="2"/>
      <c r="AH38" s="2"/>
    </row>
    <row r="39" spans="2:34" ht="15.75" customHeight="1" x14ac:dyDescent="0.2">
      <c r="B39" s="10" t="s">
        <v>103</v>
      </c>
      <c r="C39" s="142" t="str">
        <f>HYPERLINK("https://www.facebook.com/ZespriID/videos/247974942524579/","25 Aug")</f>
        <v>25 Aug</v>
      </c>
      <c r="D39" s="3">
        <f t="shared" ref="D39:P39" si="24">D116</f>
        <v>14663</v>
      </c>
      <c r="E39" s="3">
        <f t="shared" si="24"/>
        <v>728192</v>
      </c>
      <c r="F39" s="94">
        <f t="shared" si="24"/>
        <v>1058538</v>
      </c>
      <c r="G39" s="29">
        <f t="shared" si="24"/>
        <v>1.4345323420534503E-2</v>
      </c>
      <c r="H39" s="3">
        <f t="shared" si="24"/>
        <v>13263</v>
      </c>
      <c r="I39" s="25">
        <f t="shared" si="24"/>
        <v>1.2979239187759095E-2</v>
      </c>
      <c r="J39" s="3">
        <f t="shared" si="24"/>
        <v>5316</v>
      </c>
      <c r="K39" s="25">
        <f t="shared" si="24"/>
        <v>5.1761931265621374E-3</v>
      </c>
      <c r="L39" s="25">
        <f t="shared" si="24"/>
        <v>2.0623163231592377E-2</v>
      </c>
      <c r="M39" s="25">
        <f t="shared" si="24"/>
        <v>9.9925288369907377E-3</v>
      </c>
      <c r="N39" s="25">
        <f t="shared" si="24"/>
        <v>6.3981509787797101E-3</v>
      </c>
      <c r="O39" s="27">
        <f t="shared" si="24"/>
        <v>4.6010202077064839E-3</v>
      </c>
      <c r="P39" s="3">
        <f t="shared" si="24"/>
        <v>62</v>
      </c>
      <c r="Q39" s="3" t="s">
        <v>34</v>
      </c>
      <c r="R39" s="3">
        <f>R116</f>
        <v>4</v>
      </c>
      <c r="S39" s="3">
        <f>S116</f>
        <v>1381</v>
      </c>
      <c r="T39" s="3">
        <f>T116</f>
        <v>3</v>
      </c>
      <c r="U39" s="3">
        <f>U116</f>
        <v>9229</v>
      </c>
      <c r="V39" s="76">
        <v>758.55</v>
      </c>
      <c r="W39" s="22">
        <f>V116</f>
        <v>758.54475000000002</v>
      </c>
      <c r="X39" s="22">
        <f t="shared" si="12"/>
        <v>5.2499999999326974E-3</v>
      </c>
      <c r="Y39" s="10">
        <v>4</v>
      </c>
      <c r="Z39" s="2"/>
      <c r="AA39" s="2"/>
      <c r="AB39" s="2"/>
      <c r="AC39" s="2"/>
      <c r="AD39" s="2"/>
      <c r="AE39" s="2"/>
      <c r="AF39" s="2"/>
      <c r="AG39" s="2"/>
      <c r="AH39" s="2"/>
    </row>
    <row r="40" spans="2:34" ht="15.75" customHeight="1" x14ac:dyDescent="0.2">
      <c r="B40" s="10" t="s">
        <v>104</v>
      </c>
      <c r="C40" s="142" t="str">
        <f>HYPERLINK("https://www.facebook.com/ZespriID/videos/2035795313377772//","1 Sept")</f>
        <v>1 Sept</v>
      </c>
      <c r="D40" s="3">
        <f t="shared" ref="D40:P40" si="25">D119</f>
        <v>15588</v>
      </c>
      <c r="E40" s="3">
        <f t="shared" si="25"/>
        <v>659455</v>
      </c>
      <c r="F40" s="94">
        <f t="shared" si="25"/>
        <v>963223</v>
      </c>
      <c r="G40" s="29">
        <f t="shared" si="25"/>
        <v>1.646318724446362E-2</v>
      </c>
      <c r="H40" s="3">
        <f t="shared" si="25"/>
        <v>13857</v>
      </c>
      <c r="I40" s="25">
        <f t="shared" si="25"/>
        <v>1.4638946045456791E-2</v>
      </c>
      <c r="J40" s="3">
        <f t="shared" si="25"/>
        <v>3658</v>
      </c>
      <c r="K40" s="27">
        <f t="shared" si="25"/>
        <v>3.8588376423564696E-3</v>
      </c>
      <c r="L40" s="25">
        <f t="shared" si="25"/>
        <v>1.2711419188034135E-2</v>
      </c>
      <c r="M40" s="25">
        <f t="shared" si="25"/>
        <v>6.8606781100126815E-3</v>
      </c>
      <c r="N40" s="25">
        <f t="shared" si="25"/>
        <v>5.0230807388252693E-3</v>
      </c>
      <c r="O40" s="27">
        <f t="shared" si="25"/>
        <v>3.854860452010687E-3</v>
      </c>
      <c r="P40" s="3">
        <f t="shared" si="25"/>
        <v>88</v>
      </c>
      <c r="Q40" s="3" t="s">
        <v>34</v>
      </c>
      <c r="R40" s="3">
        <f>R119</f>
        <v>10</v>
      </c>
      <c r="S40" s="3">
        <f>S119</f>
        <v>1690</v>
      </c>
      <c r="T40" s="3">
        <f>T119</f>
        <v>31</v>
      </c>
      <c r="U40" s="3">
        <f>U119</f>
        <v>11415</v>
      </c>
      <c r="V40" s="76">
        <v>758.55</v>
      </c>
      <c r="W40" s="22">
        <f>V119</f>
        <v>757.83974999999998</v>
      </c>
      <c r="X40" s="22">
        <f t="shared" si="12"/>
        <v>0.71024999999997362</v>
      </c>
      <c r="Y40" s="10">
        <v>4</v>
      </c>
      <c r="Z40" s="2"/>
      <c r="AA40" s="2"/>
      <c r="AB40" s="2"/>
      <c r="AC40" s="2"/>
      <c r="AD40" s="2"/>
      <c r="AE40" s="2"/>
      <c r="AF40" s="2"/>
      <c r="AG40" s="2"/>
      <c r="AH40" s="2"/>
    </row>
    <row r="41" spans="2:34" ht="15.75" customHeight="1" x14ac:dyDescent="0.2">
      <c r="B41" s="10" t="s">
        <v>105</v>
      </c>
      <c r="C41" s="142" t="s">
        <v>106</v>
      </c>
      <c r="D41" s="3">
        <v>6182</v>
      </c>
      <c r="E41" s="3">
        <v>670464</v>
      </c>
      <c r="F41" s="94">
        <v>995952</v>
      </c>
      <c r="G41" s="27">
        <v>6.2868230839100078E-3</v>
      </c>
      <c r="H41" s="3" t="s">
        <v>34</v>
      </c>
      <c r="I41" s="25" t="s">
        <v>34</v>
      </c>
      <c r="J41" s="3" t="s">
        <v>34</v>
      </c>
      <c r="K41" s="27" t="s">
        <v>34</v>
      </c>
      <c r="L41" s="25" t="s">
        <v>34</v>
      </c>
      <c r="M41" s="25" t="s">
        <v>34</v>
      </c>
      <c r="N41" s="25" t="s">
        <v>34</v>
      </c>
      <c r="O41" s="27" t="s">
        <v>34</v>
      </c>
      <c r="P41" s="3">
        <v>176</v>
      </c>
      <c r="Q41" s="3">
        <v>3073</v>
      </c>
      <c r="R41" s="3">
        <v>12</v>
      </c>
      <c r="S41" s="3">
        <v>3080</v>
      </c>
      <c r="T41" s="3">
        <v>17</v>
      </c>
      <c r="U41" s="3">
        <v>9622</v>
      </c>
      <c r="V41" s="76">
        <v>758.55</v>
      </c>
      <c r="W41" s="22">
        <v>758.54475000000002</v>
      </c>
      <c r="X41" s="22">
        <v>5.2499999999326974E-3</v>
      </c>
      <c r="Y41" s="10">
        <v>4</v>
      </c>
      <c r="Z41" s="2"/>
      <c r="AA41" s="2"/>
      <c r="AB41" s="2"/>
      <c r="AC41" s="2"/>
      <c r="AD41" s="2"/>
      <c r="AE41" s="2"/>
      <c r="AF41" s="2"/>
      <c r="AG41" s="2"/>
      <c r="AH41" s="2"/>
    </row>
    <row r="42" spans="2:34" ht="15.75" customHeight="1" x14ac:dyDescent="0.2">
      <c r="B42" s="10" t="s">
        <v>107</v>
      </c>
      <c r="C42" s="142" t="str">
        <f>HYPERLINK("https://www.facebook.com/ZespriID/videos/555101198281369/","21 Sept")</f>
        <v>21 Sept</v>
      </c>
      <c r="D42" s="3">
        <f t="shared" ref="D42:K42" si="26">D125</f>
        <v>15880</v>
      </c>
      <c r="E42" s="3">
        <f t="shared" si="26"/>
        <v>894592</v>
      </c>
      <c r="F42" s="94">
        <f t="shared" si="26"/>
        <v>1002943</v>
      </c>
      <c r="G42" s="29">
        <f t="shared" si="26"/>
        <v>1.6032130029834623E-2</v>
      </c>
      <c r="H42" s="143">
        <f t="shared" si="26"/>
        <v>14394</v>
      </c>
      <c r="I42" s="25">
        <f t="shared" si="26"/>
        <v>1.4542072007196486E-2</v>
      </c>
      <c r="J42" s="3">
        <f t="shared" si="26"/>
        <v>14394</v>
      </c>
      <c r="K42" s="29">
        <f t="shared" si="26"/>
        <v>1.4542072007196486E-2</v>
      </c>
      <c r="L42" s="29">
        <f t="shared" ref="L42:O42" si="27">L125</f>
        <v>6.0720065399027232E-2</v>
      </c>
      <c r="M42" s="29">
        <f t="shared" si="27"/>
        <v>3.0611482400218964E-2</v>
      </c>
      <c r="N42" s="29">
        <f t="shared" si="27"/>
        <v>2.0256862445828094E-2</v>
      </c>
      <c r="O42" s="29">
        <f t="shared" si="27"/>
        <v>1.5359441513419256E-2</v>
      </c>
      <c r="P42" s="3">
        <f>P125</f>
        <v>0</v>
      </c>
      <c r="Q42" s="3" t="s">
        <v>34</v>
      </c>
      <c r="R42" s="3">
        <f t="shared" ref="R42:U42" si="28">R125</f>
        <v>9</v>
      </c>
      <c r="S42" s="3">
        <f t="shared" si="28"/>
        <v>1461</v>
      </c>
      <c r="T42" s="3">
        <f t="shared" si="28"/>
        <v>16</v>
      </c>
      <c r="U42" s="3">
        <f t="shared" si="28"/>
        <v>9344</v>
      </c>
      <c r="V42" s="76">
        <v>758.55</v>
      </c>
      <c r="W42" s="22">
        <f>V125</f>
        <v>758.54475000000002</v>
      </c>
      <c r="X42" s="22">
        <v>5.2499999999326974E-3</v>
      </c>
      <c r="Y42" s="10">
        <v>3</v>
      </c>
      <c r="Z42" s="2"/>
      <c r="AA42" s="2"/>
      <c r="AB42" s="2"/>
      <c r="AC42" s="2"/>
      <c r="AD42" s="2"/>
      <c r="AE42" s="2"/>
      <c r="AF42" s="2"/>
      <c r="AG42" s="2"/>
      <c r="AH42" s="2"/>
    </row>
    <row r="43" spans="2:34" ht="15.75" customHeight="1" x14ac:dyDescent="0.2">
      <c r="B43" s="10" t="s">
        <v>108</v>
      </c>
      <c r="C43" s="142" t="str">
        <f>HYPERLINK("https://www.facebook.com/ZespriID/videos/1947664285533761/N45","15 Sept")</f>
        <v>15 Sept</v>
      </c>
      <c r="D43" s="3">
        <f t="shared" ref="D43:K43" si="29">D128</f>
        <v>24033</v>
      </c>
      <c r="E43" s="3">
        <f t="shared" si="29"/>
        <v>981312</v>
      </c>
      <c r="F43" s="94">
        <f t="shared" si="29"/>
        <v>1094329</v>
      </c>
      <c r="G43" s="29">
        <f t="shared" si="29"/>
        <v>2.2264546768368358E-2</v>
      </c>
      <c r="H43" s="3">
        <f t="shared" si="29"/>
        <v>22889</v>
      </c>
      <c r="I43" s="25">
        <f t="shared" si="29"/>
        <v>2.1208655940623673E-2</v>
      </c>
      <c r="J43" s="3">
        <f t="shared" si="29"/>
        <v>18659</v>
      </c>
      <c r="K43" s="29">
        <f t="shared" si="29"/>
        <v>1.727859792150575E-2</v>
      </c>
      <c r="L43" s="29">
        <f t="shared" ref="L43:O43" si="30">L128</f>
        <v>4.7919420558925813E-2</v>
      </c>
      <c r="M43" s="29">
        <f t="shared" si="30"/>
        <v>2.9712001857706755E-2</v>
      </c>
      <c r="N43" s="29">
        <f t="shared" si="30"/>
        <v>2.2571901645674138E-2</v>
      </c>
      <c r="O43" s="29">
        <f t="shared" si="30"/>
        <v>1.771144923183662E-2</v>
      </c>
      <c r="P43" s="3">
        <f>P128</f>
        <v>1</v>
      </c>
      <c r="Q43" s="3" t="s">
        <v>34</v>
      </c>
      <c r="R43" s="3">
        <f t="shared" ref="R43:U43" si="31">R128</f>
        <v>5</v>
      </c>
      <c r="S43" s="3">
        <f t="shared" si="31"/>
        <v>1134</v>
      </c>
      <c r="T43" s="3">
        <f t="shared" si="31"/>
        <v>5</v>
      </c>
      <c r="U43" s="3">
        <f t="shared" si="31"/>
        <v>8456</v>
      </c>
      <c r="V43" s="76">
        <v>758.55</v>
      </c>
      <c r="W43" s="22">
        <f>V128</f>
        <v>758.54475000000002</v>
      </c>
      <c r="X43" s="22">
        <v>5.2499999999326974E-3</v>
      </c>
      <c r="Y43" s="10">
        <v>3</v>
      </c>
      <c r="Z43" s="2"/>
      <c r="AA43" s="2"/>
      <c r="AB43" s="2"/>
      <c r="AC43" s="2"/>
      <c r="AD43" s="2"/>
      <c r="AE43" s="2"/>
      <c r="AF43" s="2"/>
      <c r="AG43" s="2"/>
      <c r="AH43" s="2"/>
    </row>
    <row r="44" spans="2:34" ht="15.75" customHeight="1" x14ac:dyDescent="0.2">
      <c r="B44" s="10" t="s">
        <v>109</v>
      </c>
      <c r="C44" s="142" t="str">
        <f>HYPERLINK("https://www.facebook.com/ZespriID/videos/320553372026758/R[5]C[-1]","24 Sept")</f>
        <v>24 Sept</v>
      </c>
      <c r="D44" s="3">
        <f>D131</f>
        <v>39721</v>
      </c>
      <c r="E44" s="3">
        <f t="shared" ref="E44:F44" si="32">E131</f>
        <v>1118719</v>
      </c>
      <c r="F44" s="94">
        <f t="shared" si="32"/>
        <v>1311325</v>
      </c>
      <c r="G44" s="29">
        <f t="shared" ref="G44:P44" si="33">G131</f>
        <v>3.0262762962428472E-2</v>
      </c>
      <c r="H44" s="3">
        <f t="shared" si="33"/>
        <v>38432</v>
      </c>
      <c r="I44" s="29">
        <f t="shared" si="33"/>
        <v>2.92772122287248E-2</v>
      </c>
      <c r="J44" s="3">
        <f t="shared" si="33"/>
        <v>24872</v>
      </c>
      <c r="K44" s="29">
        <f t="shared" si="33"/>
        <v>1.8928067126441434E-2</v>
      </c>
      <c r="L44" s="29">
        <f t="shared" si="33"/>
        <v>3.0477518984737689E-2</v>
      </c>
      <c r="M44" s="29">
        <f t="shared" si="33"/>
        <v>2.2866126966882793E-2</v>
      </c>
      <c r="N44" s="29">
        <f t="shared" si="33"/>
        <v>2.0849267176761145E-2</v>
      </c>
      <c r="O44" s="29">
        <f t="shared" si="33"/>
        <v>1.902311242445047E-2</v>
      </c>
      <c r="P44" s="3">
        <f t="shared" si="33"/>
        <v>2</v>
      </c>
      <c r="Q44" s="3" t="s">
        <v>34</v>
      </c>
      <c r="R44" s="3">
        <f t="shared" ref="R44:U44" si="34">R131</f>
        <v>11</v>
      </c>
      <c r="S44" s="3">
        <f t="shared" si="34"/>
        <v>1264</v>
      </c>
      <c r="T44" s="3">
        <f t="shared" si="34"/>
        <v>14</v>
      </c>
      <c r="U44" s="3">
        <f t="shared" si="34"/>
        <v>15764</v>
      </c>
      <c r="V44" s="76">
        <v>758.55</v>
      </c>
      <c r="W44" s="22">
        <f>V131</f>
        <v>758.54475000000002</v>
      </c>
      <c r="X44" s="22">
        <v>5.2499999999326974E-3</v>
      </c>
      <c r="Y44" s="10">
        <v>4</v>
      </c>
      <c r="Z44" s="2"/>
      <c r="AA44" s="2"/>
      <c r="AB44" s="2"/>
      <c r="AC44" s="2"/>
      <c r="AD44" s="2"/>
      <c r="AE44" s="2"/>
      <c r="AF44" s="2"/>
      <c r="AG44" s="2"/>
      <c r="AH44" s="2"/>
    </row>
    <row r="45" spans="2:34" ht="15.75" customHeight="1" x14ac:dyDescent="0.2">
      <c r="B45" s="10" t="s">
        <v>110</v>
      </c>
      <c r="C45" s="142" t="str">
        <f>HYPERLINK("https://www.facebook.com/449445401799264/posts/1893397530737370/","15 Oct")</f>
        <v>15 Oct</v>
      </c>
      <c r="D45" s="3">
        <f>D134</f>
        <v>42684</v>
      </c>
      <c r="E45" s="3">
        <f>E134</f>
        <v>1140457</v>
      </c>
      <c r="F45" s="94">
        <f>F133</f>
        <v>1035440</v>
      </c>
      <c r="G45" s="29">
        <f>G134</f>
        <v>2.4951078528549352E-2</v>
      </c>
      <c r="H45" s="3">
        <f>H134</f>
        <v>40884</v>
      </c>
      <c r="I45" s="25">
        <f>I134</f>
        <v>2.3872632489457167E-2</v>
      </c>
      <c r="J45" s="3">
        <f>J134</f>
        <v>27944</v>
      </c>
      <c r="K45" s="25">
        <f>K134</f>
        <v>1.6306579040646231E-2</v>
      </c>
      <c r="L45" s="25">
        <f t="shared" ref="L45:O45" si="35">L134</f>
        <v>5.141649396830332E-2</v>
      </c>
      <c r="M45" s="25">
        <f t="shared" si="35"/>
        <v>2.922543593443731E-2</v>
      </c>
      <c r="N45" s="25">
        <f t="shared" si="35"/>
        <v>2.1360756086074642E-2</v>
      </c>
      <c r="O45" s="25">
        <f t="shared" si="35"/>
        <v>1.678344695542219E-2</v>
      </c>
      <c r="P45" s="3">
        <f>P134</f>
        <v>1</v>
      </c>
      <c r="Q45" s="3">
        <f t="shared" ref="Q45:U45" si="36">Q134</f>
        <v>0</v>
      </c>
      <c r="R45" s="3">
        <f t="shared" si="36"/>
        <v>9</v>
      </c>
      <c r="S45" s="3">
        <f t="shared" si="36"/>
        <v>1508</v>
      </c>
      <c r="T45" s="3">
        <f t="shared" si="36"/>
        <v>11</v>
      </c>
      <c r="U45" s="3">
        <f t="shared" si="36"/>
        <v>15915</v>
      </c>
      <c r="V45" s="76">
        <v>758.55</v>
      </c>
      <c r="W45" s="22">
        <f>V134</f>
        <v>758.54475000000002</v>
      </c>
      <c r="X45" s="22">
        <v>5.2499999999326974E-3</v>
      </c>
      <c r="Y45" s="10">
        <v>4</v>
      </c>
      <c r="Z45" s="2"/>
      <c r="AA45" s="2"/>
      <c r="AB45" s="2"/>
      <c r="AC45" s="2"/>
      <c r="AD45" s="2"/>
      <c r="AE45" s="2"/>
      <c r="AF45" s="2"/>
      <c r="AG45" s="2"/>
      <c r="AH45" s="2"/>
    </row>
    <row r="46" spans="2:34" ht="15.75" customHeight="1" x14ac:dyDescent="0.2">
      <c r="B46" s="10" t="s">
        <v>111</v>
      </c>
      <c r="C46" s="142" t="str">
        <f>HYPERLINK("https://www.facebook.com/449445401799264/posts/1917361521674304/","24 Oct")</f>
        <v>24 Oct</v>
      </c>
      <c r="D46" s="3">
        <f>D137</f>
        <v>29106</v>
      </c>
      <c r="E46" s="3">
        <f t="shared" ref="E46:J46" si="37">E137</f>
        <v>855092</v>
      </c>
      <c r="F46" s="94">
        <f>F137</f>
        <v>1517259</v>
      </c>
      <c r="G46" s="29">
        <f>G137</f>
        <v>1.9515714968989038E-2</v>
      </c>
      <c r="H46" s="3">
        <f t="shared" si="37"/>
        <v>28091</v>
      </c>
      <c r="I46" s="29">
        <f>I137</f>
        <v>1.8842667776034647E-2</v>
      </c>
      <c r="J46" s="3">
        <f t="shared" si="37"/>
        <v>5265</v>
      </c>
      <c r="K46" s="27">
        <f>K137</f>
        <v>3.5069802289004019E-3</v>
      </c>
      <c r="L46" s="27">
        <f>L137</f>
        <v>5.157090431128517E-3</v>
      </c>
      <c r="M46" s="27">
        <f>M137</f>
        <v>2.7812020299724971E-3</v>
      </c>
      <c r="N46" s="27">
        <f>N137</f>
        <v>1.7382142375255581E-3</v>
      </c>
      <c r="O46" s="27">
        <f>O137</f>
        <v>1.1204168282860226E-3</v>
      </c>
      <c r="P46" s="3">
        <f t="shared" ref="P46" si="38">P137</f>
        <v>1</v>
      </c>
      <c r="Q46" s="3">
        <f t="shared" ref="Q46:U46" si="39">Q137</f>
        <v>0</v>
      </c>
      <c r="R46" s="3">
        <f t="shared" si="39"/>
        <v>6</v>
      </c>
      <c r="S46" s="3">
        <f t="shared" si="39"/>
        <v>961</v>
      </c>
      <c r="T46" s="3">
        <f t="shared" si="39"/>
        <v>48</v>
      </c>
      <c r="U46" s="3">
        <f t="shared" si="39"/>
        <v>18468</v>
      </c>
      <c r="V46" s="76">
        <v>758.55</v>
      </c>
      <c r="W46" s="22">
        <f>V137</f>
        <v>758.54475000000002</v>
      </c>
      <c r="X46" s="22">
        <v>5.2499999999326974E-3</v>
      </c>
      <c r="Y46" s="10">
        <v>4</v>
      </c>
      <c r="Z46" s="2"/>
      <c r="AA46" s="2"/>
      <c r="AB46" s="2"/>
      <c r="AC46" s="2"/>
      <c r="AD46" s="2"/>
      <c r="AE46" s="2"/>
      <c r="AF46" s="2"/>
      <c r="AG46" s="2"/>
      <c r="AH46" s="2"/>
    </row>
    <row r="47" spans="2:34" ht="15.75" customHeight="1" x14ac:dyDescent="0.2">
      <c r="B47" s="10" t="s">
        <v>112</v>
      </c>
      <c r="C47" s="142" t="str">
        <f>HYPERLINK("https://www.facebook.com/449445401799264/posts/1919858258091297/","30 Oct")</f>
        <v>30 Oct</v>
      </c>
      <c r="D47" s="3">
        <f>D143</f>
        <v>45795</v>
      </c>
      <c r="E47" s="3">
        <f>E143</f>
        <v>743039</v>
      </c>
      <c r="F47" s="94">
        <f>F143</f>
        <v>1002556</v>
      </c>
      <c r="G47" s="29">
        <f>G143</f>
        <v>4.567092260088209E-2</v>
      </c>
      <c r="H47" s="3" t="s">
        <v>34</v>
      </c>
      <c r="I47" s="25" t="s">
        <v>34</v>
      </c>
      <c r="J47" s="3" t="s">
        <v>34</v>
      </c>
      <c r="K47" s="27" t="s">
        <v>34</v>
      </c>
      <c r="L47" s="25" t="s">
        <v>34</v>
      </c>
      <c r="M47" s="25" t="s">
        <v>34</v>
      </c>
      <c r="N47" s="25" t="s">
        <v>34</v>
      </c>
      <c r="O47" s="27" t="s">
        <v>34</v>
      </c>
      <c r="P47" s="3">
        <f t="shared" ref="P47:U47" si="40">P143</f>
        <v>1</v>
      </c>
      <c r="Q47" s="3">
        <f t="shared" si="40"/>
        <v>0</v>
      </c>
      <c r="R47" s="3">
        <f t="shared" si="40"/>
        <v>10</v>
      </c>
      <c r="S47" s="3">
        <f t="shared" si="40"/>
        <v>1191</v>
      </c>
      <c r="T47" s="3">
        <f t="shared" si="40"/>
        <v>7</v>
      </c>
      <c r="U47" s="3">
        <f t="shared" si="40"/>
        <v>7682</v>
      </c>
      <c r="V47" s="76">
        <v>758.55</v>
      </c>
      <c r="W47" s="22">
        <f>V143</f>
        <v>758.54475000000002</v>
      </c>
      <c r="X47" s="22">
        <v>5.2499999999326974E-3</v>
      </c>
      <c r="Y47" s="10">
        <v>4</v>
      </c>
      <c r="Z47" s="2"/>
      <c r="AA47" s="2"/>
      <c r="AB47" s="2"/>
      <c r="AC47" s="2"/>
      <c r="AD47" s="2"/>
      <c r="AE47" s="2"/>
      <c r="AF47" s="2"/>
      <c r="AG47" s="2"/>
      <c r="AH47" s="2"/>
    </row>
    <row r="48" spans="2:34" ht="15.75" customHeight="1" x14ac:dyDescent="0.2">
      <c r="B48" s="10" t="s">
        <v>113</v>
      </c>
      <c r="C48" s="142" t="str">
        <f>HYPERLINK("https://www.facebook.com/449445401799264/posts/1941483235928799/","14 Nov")</f>
        <v>14 Nov</v>
      </c>
      <c r="D48" s="3">
        <f>D146</f>
        <v>5325</v>
      </c>
      <c r="E48" s="3">
        <f>E146</f>
        <v>685334</v>
      </c>
      <c r="F48" s="94">
        <f>F146</f>
        <v>888339</v>
      </c>
      <c r="G48" s="27">
        <f>G146</f>
        <v>6.0351804892210797E-3</v>
      </c>
      <c r="H48" s="3" t="s">
        <v>34</v>
      </c>
      <c r="I48" s="25" t="s">
        <v>34</v>
      </c>
      <c r="J48" s="3" t="s">
        <v>34</v>
      </c>
      <c r="K48" s="27" t="s">
        <v>34</v>
      </c>
      <c r="L48" s="25" t="s">
        <v>34</v>
      </c>
      <c r="M48" s="25" t="s">
        <v>34</v>
      </c>
      <c r="N48" s="25" t="s">
        <v>34</v>
      </c>
      <c r="O48" s="27" t="s">
        <v>34</v>
      </c>
      <c r="P48" s="3">
        <f t="shared" ref="P48:U48" si="41">P146</f>
        <v>0</v>
      </c>
      <c r="Q48" s="3">
        <f t="shared" si="41"/>
        <v>2278</v>
      </c>
      <c r="R48" s="3">
        <f t="shared" si="41"/>
        <v>4</v>
      </c>
      <c r="S48" s="3">
        <f t="shared" si="41"/>
        <v>3033</v>
      </c>
      <c r="T48" s="3">
        <f t="shared" si="41"/>
        <v>10</v>
      </c>
      <c r="U48" s="3">
        <f t="shared" si="41"/>
        <v>7377</v>
      </c>
      <c r="V48" s="76">
        <v>758.55</v>
      </c>
      <c r="W48" s="22">
        <f>V146</f>
        <v>758.54475000000002</v>
      </c>
      <c r="X48" s="22">
        <v>5.2499999999326974E-3</v>
      </c>
      <c r="Y48" s="10">
        <v>3</v>
      </c>
      <c r="Z48" s="2"/>
      <c r="AA48" s="2"/>
      <c r="AB48" s="2"/>
      <c r="AC48" s="2"/>
      <c r="AD48" s="2"/>
      <c r="AE48" s="2"/>
      <c r="AF48" s="2"/>
      <c r="AG48" s="2"/>
      <c r="AH48" s="2"/>
    </row>
    <row r="49" spans="2:34" ht="15.75" customHeight="1" x14ac:dyDescent="0.2">
      <c r="B49" s="10" t="s">
        <v>114</v>
      </c>
      <c r="C49" s="142" t="str">
        <f>HYPERLINK("https://www.facebook.com/449445401799264/posts/1954611437949312/","22 Nov")</f>
        <v>22 Nov</v>
      </c>
      <c r="D49" s="3">
        <f t="shared" ref="D49:U49" si="42">D149</f>
        <v>15364</v>
      </c>
      <c r="E49" s="3">
        <f t="shared" si="42"/>
        <v>844636</v>
      </c>
      <c r="F49" s="94">
        <f t="shared" si="42"/>
        <v>1349096</v>
      </c>
      <c r="G49" s="178">
        <f t="shared" si="42"/>
        <v>1.1544687726259949E-2</v>
      </c>
      <c r="H49" s="3">
        <f t="shared" si="42"/>
        <v>13882</v>
      </c>
      <c r="I49" s="178">
        <f t="shared" si="42"/>
        <v>1.0418669948907208E-2</v>
      </c>
      <c r="J49" s="3">
        <f t="shared" si="42"/>
        <v>5837</v>
      </c>
      <c r="K49" s="182">
        <f t="shared" si="42"/>
        <v>4.3767587638166112E-3</v>
      </c>
      <c r="L49" s="178">
        <f t="shared" si="42"/>
        <v>1.7809459366133016E-2</v>
      </c>
      <c r="M49" s="178">
        <f t="shared" si="42"/>
        <v>8.7240089140152959E-3</v>
      </c>
      <c r="N49" s="182">
        <f t="shared" si="42"/>
        <v>5.952738855714592E-3</v>
      </c>
      <c r="O49" s="182">
        <f t="shared" si="42"/>
        <v>4.3637525568289443E-3</v>
      </c>
      <c r="P49" s="3">
        <f t="shared" si="42"/>
        <v>0</v>
      </c>
      <c r="Q49" s="3">
        <f t="shared" si="42"/>
        <v>0</v>
      </c>
      <c r="R49" s="3">
        <f t="shared" si="42"/>
        <v>0</v>
      </c>
      <c r="S49" s="3">
        <f t="shared" si="42"/>
        <v>1477</v>
      </c>
      <c r="T49" s="3">
        <f t="shared" si="42"/>
        <v>5</v>
      </c>
      <c r="U49" s="3">
        <f t="shared" si="42"/>
        <v>7377</v>
      </c>
      <c r="V49" s="76">
        <v>758.55</v>
      </c>
      <c r="W49" s="22">
        <f>V149</f>
        <v>758.54475000000002</v>
      </c>
      <c r="X49" s="22">
        <v>5.2499999999326974E-3</v>
      </c>
      <c r="Y49" s="10">
        <v>4</v>
      </c>
      <c r="Z49" s="2"/>
      <c r="AA49" s="2"/>
      <c r="AB49" s="2"/>
      <c r="AC49" s="2"/>
      <c r="AD49" s="2"/>
      <c r="AE49" s="2"/>
      <c r="AF49" s="2"/>
      <c r="AG49" s="2"/>
      <c r="AH49" s="2"/>
    </row>
    <row r="50" spans="2:34" ht="15.75" customHeight="1" x14ac:dyDescent="0.2">
      <c r="B50" s="10" t="s">
        <v>115</v>
      </c>
      <c r="C50" s="142" t="str">
        <f>HYPERLINK("https://www.facebook.com/ZespriID/posts/1957025721041217","23 Nov")</f>
        <v>23 Nov</v>
      </c>
      <c r="D50" s="3">
        <f>D152</f>
        <v>7390</v>
      </c>
      <c r="E50" s="3">
        <f>E152</f>
        <v>560230</v>
      </c>
      <c r="F50" s="94">
        <f>F152</f>
        <v>900858</v>
      </c>
      <c r="G50" s="27">
        <f>G152</f>
        <v>8.200843923967447E-3</v>
      </c>
      <c r="H50" s="3" t="s">
        <v>34</v>
      </c>
      <c r="I50" s="25" t="s">
        <v>34</v>
      </c>
      <c r="J50" s="3" t="s">
        <v>34</v>
      </c>
      <c r="K50" s="27" t="s">
        <v>34</v>
      </c>
      <c r="L50" s="25" t="s">
        <v>34</v>
      </c>
      <c r="M50" s="25" t="s">
        <v>34</v>
      </c>
      <c r="N50" s="25" t="s">
        <v>34</v>
      </c>
      <c r="O50" s="27" t="s">
        <v>34</v>
      </c>
      <c r="P50" s="3">
        <f t="shared" ref="P50:U50" si="43">P152</f>
        <v>0</v>
      </c>
      <c r="Q50" s="3">
        <f t="shared" si="43"/>
        <v>4972</v>
      </c>
      <c r="R50" s="3">
        <f t="shared" si="43"/>
        <v>3</v>
      </c>
      <c r="S50" s="3">
        <f t="shared" si="43"/>
        <v>2338</v>
      </c>
      <c r="T50" s="3">
        <f t="shared" si="43"/>
        <v>50</v>
      </c>
      <c r="U50" s="3">
        <f t="shared" si="43"/>
        <v>8963</v>
      </c>
      <c r="V50" s="76">
        <v>758.55</v>
      </c>
      <c r="W50" s="22">
        <f>V152</f>
        <v>758.54475000000002</v>
      </c>
      <c r="X50" s="22">
        <v>5.2499999999326974E-3</v>
      </c>
      <c r="Y50" s="10">
        <v>4</v>
      </c>
      <c r="Z50" s="2"/>
      <c r="AA50" s="2"/>
      <c r="AB50" s="2"/>
      <c r="AC50" s="2"/>
      <c r="AD50" s="2"/>
      <c r="AE50" s="2"/>
      <c r="AF50" s="2"/>
      <c r="AG50" s="2"/>
      <c r="AH50" s="2"/>
    </row>
    <row r="51" spans="2:34" ht="15.75" customHeight="1" x14ac:dyDescent="0.2">
      <c r="B51" s="10" t="s">
        <v>116</v>
      </c>
      <c r="C51" s="142" t="str">
        <f>HYPERLINK("https://www.facebook.com/449445401799264/posts/1973330382744084","5 Dec")</f>
        <v>5 Dec</v>
      </c>
      <c r="D51" s="3">
        <f t="shared" ref="D51:U51" si="44">D155</f>
        <v>15428</v>
      </c>
      <c r="E51" s="3">
        <f t="shared" si="44"/>
        <v>627247</v>
      </c>
      <c r="F51" s="94">
        <f t="shared" si="44"/>
        <v>1109249</v>
      </c>
      <c r="G51" s="29">
        <f t="shared" si="44"/>
        <v>1.4389338281490107E-2</v>
      </c>
      <c r="H51" s="3">
        <f t="shared" si="44"/>
        <v>14219</v>
      </c>
      <c r="I51" s="29">
        <f t="shared" si="44"/>
        <v>1.3261922865245707E-2</v>
      </c>
      <c r="J51" s="3">
        <f t="shared" si="44"/>
        <v>3591</v>
      </c>
      <c r="K51" s="27">
        <f t="shared" si="44"/>
        <v>3.315377819755337E-3</v>
      </c>
      <c r="L51" s="27">
        <f t="shared" si="44"/>
        <v>1.444355068032408E-2</v>
      </c>
      <c r="M51" s="27">
        <f t="shared" si="44"/>
        <v>6.7992873768417776E-3</v>
      </c>
      <c r="N51" s="27">
        <f t="shared" si="44"/>
        <v>4.2738536606624954E-3</v>
      </c>
      <c r="O51" s="27">
        <f t="shared" si="44"/>
        <v>3.2763325362885694E-3</v>
      </c>
      <c r="P51" s="3">
        <f t="shared" si="44"/>
        <v>1</v>
      </c>
      <c r="Q51" s="3">
        <f t="shared" si="44"/>
        <v>0</v>
      </c>
      <c r="R51" s="3">
        <f t="shared" si="44"/>
        <v>7</v>
      </c>
      <c r="S51" s="3">
        <f t="shared" si="44"/>
        <v>1196</v>
      </c>
      <c r="T51" s="3">
        <f t="shared" si="44"/>
        <v>6</v>
      </c>
      <c r="U51" s="3">
        <f t="shared" si="44"/>
        <v>7612</v>
      </c>
      <c r="V51" s="76">
        <v>758.55</v>
      </c>
      <c r="W51" s="22">
        <f>V155</f>
        <v>758.54475000000002</v>
      </c>
      <c r="X51" s="22">
        <v>5.2499999999326974E-3</v>
      </c>
      <c r="Y51" s="10">
        <v>2</v>
      </c>
      <c r="Z51" s="2"/>
      <c r="AA51" s="2"/>
      <c r="AB51" s="2"/>
      <c r="AC51" s="2"/>
      <c r="AD51" s="2"/>
      <c r="AE51" s="2"/>
      <c r="AF51" s="2"/>
      <c r="AG51" s="2"/>
      <c r="AH51" s="2"/>
    </row>
    <row r="52" spans="2:34" ht="15.75" customHeight="1" x14ac:dyDescent="0.2">
      <c r="B52" s="10" t="s">
        <v>117</v>
      </c>
      <c r="C52" s="142" t="str">
        <f>HYPERLINK("https://www.facebook.com/449445401799264/posts/1995128247230964/","20 Dec")</f>
        <v>20 Dec</v>
      </c>
      <c r="D52" s="3">
        <f>D158</f>
        <v>5387</v>
      </c>
      <c r="E52" s="3">
        <f>E158</f>
        <v>1772031</v>
      </c>
      <c r="F52" s="94">
        <f>F158</f>
        <v>2088372</v>
      </c>
      <c r="G52" s="27">
        <f>G158</f>
        <v>2.5746811730163639E-3</v>
      </c>
      <c r="H52" s="3" t="s">
        <v>34</v>
      </c>
      <c r="I52" s="25" t="s">
        <v>34</v>
      </c>
      <c r="J52" s="3" t="s">
        <v>34</v>
      </c>
      <c r="K52" s="27" t="s">
        <v>34</v>
      </c>
      <c r="L52" s="25" t="s">
        <v>34</v>
      </c>
      <c r="M52" s="25" t="s">
        <v>34</v>
      </c>
      <c r="N52" s="25" t="s">
        <v>34</v>
      </c>
      <c r="O52" s="27" t="s">
        <v>34</v>
      </c>
      <c r="P52" s="3">
        <f t="shared" ref="P52:U52" si="45">P158</f>
        <v>7</v>
      </c>
      <c r="Q52" s="3">
        <f t="shared" si="45"/>
        <v>3281</v>
      </c>
      <c r="R52" s="3">
        <f t="shared" si="45"/>
        <v>3</v>
      </c>
      <c r="S52" s="3">
        <f t="shared" si="45"/>
        <v>1860</v>
      </c>
      <c r="T52" s="3">
        <f t="shared" si="45"/>
        <v>10</v>
      </c>
      <c r="U52" s="3">
        <f t="shared" si="45"/>
        <v>8611</v>
      </c>
      <c r="V52" s="76">
        <v>758.55</v>
      </c>
      <c r="W52" s="307">
        <f>V158</f>
        <v>758.54475000000002</v>
      </c>
      <c r="X52" s="22">
        <v>5.2499999999326974E-3</v>
      </c>
      <c r="Y52" s="10">
        <v>3</v>
      </c>
      <c r="Z52" s="2"/>
      <c r="AA52" s="2"/>
      <c r="AB52" s="2"/>
      <c r="AC52" s="2"/>
      <c r="AD52" s="2"/>
      <c r="AE52" s="2"/>
      <c r="AF52" s="2"/>
      <c r="AG52" s="2"/>
      <c r="AH52" s="2"/>
    </row>
    <row r="53" spans="2:34" ht="15.4" customHeight="1" x14ac:dyDescent="0.2">
      <c r="B53" s="10" t="s">
        <v>118</v>
      </c>
      <c r="C53" s="142" t="str">
        <f>HYPERLINK("https://www.facebook.com/449445401799264/posts/1995153290561793/","24 Dec")</f>
        <v>24 Dec</v>
      </c>
      <c r="D53" s="3">
        <f t="shared" ref="D53:U53" si="46">D161</f>
        <v>4856</v>
      </c>
      <c r="E53" s="3">
        <f t="shared" si="46"/>
        <v>687406</v>
      </c>
      <c r="F53" s="94">
        <f t="shared" si="46"/>
        <v>773175</v>
      </c>
      <c r="G53" s="29">
        <f t="shared" si="46"/>
        <v>6.2850929599360941E-3</v>
      </c>
      <c r="H53" s="3">
        <f t="shared" si="46"/>
        <v>4368</v>
      </c>
      <c r="I53" s="29">
        <f t="shared" si="46"/>
        <v>5.6494807004673041E-3</v>
      </c>
      <c r="J53" s="3">
        <f t="shared" si="46"/>
        <v>692</v>
      </c>
      <c r="K53" s="27">
        <f t="shared" si="46"/>
        <v>8.8791059717860171E-4</v>
      </c>
      <c r="L53" s="27">
        <f t="shared" si="46"/>
        <v>4.3551654844098033E-3</v>
      </c>
      <c r="M53" s="27">
        <f t="shared" si="46"/>
        <v>1.9439597837262118E-3</v>
      </c>
      <c r="N53" s="27">
        <f t="shared" si="46"/>
        <v>1.2068150192807484E-3</v>
      </c>
      <c r="O53" s="27">
        <f t="shared" si="46"/>
        <v>8.5064333439909532E-4</v>
      </c>
      <c r="P53" s="3">
        <f t="shared" si="46"/>
        <v>1</v>
      </c>
      <c r="Q53" s="3">
        <f t="shared" si="46"/>
        <v>0</v>
      </c>
      <c r="R53" s="3">
        <f t="shared" si="46"/>
        <v>3</v>
      </c>
      <c r="S53" s="3">
        <f t="shared" si="46"/>
        <v>480</v>
      </c>
      <c r="T53" s="3">
        <f t="shared" si="46"/>
        <v>5</v>
      </c>
      <c r="U53" s="3">
        <f t="shared" si="46"/>
        <v>3163</v>
      </c>
      <c r="V53" s="76">
        <v>216.73</v>
      </c>
      <c r="W53" s="22">
        <f>V161</f>
        <v>216.71699999999998</v>
      </c>
      <c r="X53" s="22">
        <v>5.2499999999326974E-3</v>
      </c>
      <c r="Y53" s="10">
        <v>2</v>
      </c>
      <c r="Z53" s="2"/>
      <c r="AA53" s="2"/>
      <c r="AB53" s="2"/>
      <c r="AC53" s="2"/>
      <c r="AD53" s="2"/>
      <c r="AE53" s="2"/>
      <c r="AF53" s="2"/>
      <c r="AG53" s="2"/>
      <c r="AH53" s="2"/>
    </row>
    <row r="54" spans="2:34" ht="15.75" hidden="1" customHeight="1" x14ac:dyDescent="0.2">
      <c r="B54" s="10" t="s">
        <v>119</v>
      </c>
      <c r="C54" s="142" t="str">
        <f>HYPERLINK("https://www.facebook.com/449445401799264/posts/2029021480508307/","14 Jan")</f>
        <v>14 Jan</v>
      </c>
      <c r="D54" s="3"/>
      <c r="E54" s="3"/>
      <c r="F54" s="94"/>
      <c r="G54" s="29"/>
      <c r="H54" s="3"/>
      <c r="I54" s="29"/>
      <c r="J54" s="3"/>
      <c r="K54" s="27"/>
      <c r="L54" s="27"/>
      <c r="M54" s="27"/>
      <c r="N54" s="27"/>
      <c r="O54" s="27"/>
      <c r="P54" s="3"/>
      <c r="Q54" s="3"/>
      <c r="R54" s="3"/>
      <c r="S54" s="3"/>
      <c r="T54" s="3"/>
      <c r="U54" s="3"/>
      <c r="V54" s="76"/>
      <c r="W54" s="22"/>
      <c r="X54" s="22"/>
      <c r="Y54" s="10"/>
      <c r="Z54" s="2"/>
      <c r="AA54" s="2"/>
      <c r="AB54" s="2"/>
      <c r="AC54" s="2"/>
      <c r="AD54" s="2"/>
      <c r="AE54" s="2"/>
      <c r="AF54" s="2"/>
      <c r="AG54" s="2"/>
      <c r="AH54" s="2"/>
    </row>
    <row r="55" spans="2:34" ht="15.75" hidden="1" customHeight="1" x14ac:dyDescent="0.2">
      <c r="B55" s="10"/>
      <c r="C55" s="142"/>
      <c r="D55" s="3"/>
      <c r="E55" s="3"/>
      <c r="F55" s="94"/>
      <c r="G55" s="27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76"/>
      <c r="W55" s="22"/>
      <c r="X55" s="22"/>
      <c r="Y55" s="10"/>
      <c r="Z55" s="2"/>
      <c r="AA55" s="2"/>
      <c r="AB55" s="2"/>
      <c r="AC55" s="2"/>
      <c r="AD55" s="2"/>
      <c r="AE55" s="2"/>
      <c r="AF55" s="2"/>
      <c r="AG55" s="2"/>
      <c r="AH55" s="2"/>
    </row>
    <row r="56" spans="2:34" ht="15.75" customHeight="1" x14ac:dyDescent="0.2">
      <c r="B56" s="351" t="s">
        <v>120</v>
      </c>
      <c r="C56" s="351"/>
      <c r="D56" s="16">
        <f>SUM(D21:D55)</f>
        <v>505398</v>
      </c>
      <c r="E56" s="16">
        <f>SUM(E21:E55)</f>
        <v>29468442</v>
      </c>
      <c r="F56" s="16">
        <f>SUM(F21:F55)</f>
        <v>39467814</v>
      </c>
      <c r="G56" s="30">
        <f>AVERAGE(G21:G55)</f>
        <v>1.2776627854087478E-2</v>
      </c>
      <c r="H56" s="16">
        <f>SUM(H21:H55)</f>
        <v>358181</v>
      </c>
      <c r="I56" s="30">
        <f>IFERROR(AVERAGE(I21:I55),0)</f>
        <v>1.4342586704787479E-2</v>
      </c>
      <c r="J56" s="16">
        <f>SUM(J21:J55)</f>
        <v>176750</v>
      </c>
      <c r="K56" s="30">
        <f>IFERROR(AVERAGE(K21:K55),0)</f>
        <v>6.9551088726451217E-3</v>
      </c>
      <c r="L56" s="30">
        <f>IFERROR(AVERAGE(L21:L55),0)</f>
        <v>2.1178814653275747E-2</v>
      </c>
      <c r="M56" s="30">
        <f>IFERROR(AVERAGE(M21:M55),0)</f>
        <v>1.1970095910772808E-2</v>
      </c>
      <c r="N56" s="30">
        <f>IFERROR(AVERAGE(N21:N55),0)</f>
        <v>8.6877749866176232E-3</v>
      </c>
      <c r="O56" s="99">
        <f>IFERROR(AVERAGE(O21:O55),0)</f>
        <v>6.8428801387605777E-3</v>
      </c>
      <c r="P56" s="16">
        <f t="shared" ref="P56:W56" si="47">SUM(P21:P55)</f>
        <v>2461</v>
      </c>
      <c r="Q56" s="16">
        <f t="shared" si="47"/>
        <v>40452</v>
      </c>
      <c r="R56" s="16">
        <f t="shared" si="47"/>
        <v>242</v>
      </c>
      <c r="S56" s="16">
        <f t="shared" si="47"/>
        <v>60211</v>
      </c>
      <c r="T56" s="16">
        <f t="shared" si="47"/>
        <v>709</v>
      </c>
      <c r="U56" s="16">
        <f t="shared" si="47"/>
        <v>335971</v>
      </c>
      <c r="V56" s="24">
        <f t="shared" si="47"/>
        <v>23148.479999999989</v>
      </c>
      <c r="W56" s="24">
        <f t="shared" si="47"/>
        <v>23145.026625000017</v>
      </c>
      <c r="X56" s="31">
        <f>V56-W56</f>
        <v>3.4533749999718566</v>
      </c>
      <c r="Y56" s="78">
        <f>AVERAGE(Y21:Y55)</f>
        <v>3.7272727272727271</v>
      </c>
      <c r="Z56" s="2"/>
      <c r="AA56" s="2"/>
      <c r="AB56" s="2"/>
      <c r="AC56" s="2"/>
      <c r="AD56" s="2"/>
      <c r="AE56" s="2"/>
      <c r="AF56" s="2"/>
      <c r="AG56" s="2"/>
      <c r="AH56" s="2"/>
    </row>
    <row r="57" spans="2:34" ht="15.75" customHeight="1" x14ac:dyDescent="0.2">
      <c r="B57" s="2"/>
      <c r="C57" s="167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6"/>
      <c r="Z57" s="2"/>
      <c r="AA57" s="2"/>
      <c r="AB57" s="2"/>
      <c r="AC57" s="2"/>
      <c r="AD57" s="2"/>
      <c r="AE57" s="2"/>
      <c r="AF57" s="2"/>
      <c r="AG57" s="2"/>
      <c r="AH57" s="2"/>
    </row>
    <row r="58" spans="2:34" ht="15.75" customHeight="1" x14ac:dyDescent="0.2">
      <c r="B58" s="350" t="s">
        <v>121</v>
      </c>
      <c r="C58" s="350"/>
      <c r="D58" s="350"/>
      <c r="E58" s="350"/>
      <c r="F58" s="350"/>
      <c r="G58" s="350"/>
      <c r="H58" s="350"/>
      <c r="I58" s="350"/>
      <c r="J58" s="350"/>
      <c r="K58" s="350"/>
      <c r="L58" s="350"/>
      <c r="M58" s="350"/>
      <c r="N58" s="350"/>
      <c r="O58" s="350"/>
      <c r="P58" s="350"/>
      <c r="Q58" s="350"/>
      <c r="R58" s="350"/>
      <c r="S58" s="350"/>
      <c r="T58" s="350"/>
      <c r="U58" s="350"/>
      <c r="V58" s="350"/>
      <c r="W58" s="9"/>
      <c r="X58" s="9"/>
      <c r="Y58" s="6"/>
      <c r="Z58" s="2"/>
      <c r="AA58" s="2"/>
      <c r="AB58" s="2"/>
      <c r="AC58" s="2"/>
      <c r="AD58" s="2"/>
      <c r="AE58" s="2"/>
      <c r="AF58" s="2"/>
      <c r="AG58" s="2"/>
      <c r="AH58" s="2"/>
    </row>
    <row r="59" spans="2:34" ht="25.5" x14ac:dyDescent="0.2">
      <c r="B59" s="18" t="s">
        <v>122</v>
      </c>
      <c r="C59" s="173" t="s">
        <v>123</v>
      </c>
      <c r="D59" s="13" t="s">
        <v>64</v>
      </c>
      <c r="E59" s="13" t="s">
        <v>65</v>
      </c>
      <c r="F59" s="13" t="s">
        <v>66</v>
      </c>
      <c r="G59" s="13" t="s">
        <v>67</v>
      </c>
      <c r="H59" s="13" t="s">
        <v>68</v>
      </c>
      <c r="I59" s="13" t="s">
        <v>21</v>
      </c>
      <c r="J59" s="13" t="s">
        <v>69</v>
      </c>
      <c r="K59" s="13" t="s">
        <v>70</v>
      </c>
      <c r="L59" s="13" t="s">
        <v>71</v>
      </c>
      <c r="M59" s="13" t="s">
        <v>72</v>
      </c>
      <c r="N59" s="13" t="s">
        <v>73</v>
      </c>
      <c r="O59" s="13" t="s">
        <v>74</v>
      </c>
      <c r="P59" s="13" t="s">
        <v>75</v>
      </c>
      <c r="Q59" s="13" t="s">
        <v>76</v>
      </c>
      <c r="R59" s="13" t="s">
        <v>77</v>
      </c>
      <c r="S59" s="13" t="s">
        <v>78</v>
      </c>
      <c r="T59" s="13" t="s">
        <v>79</v>
      </c>
      <c r="U59" s="13" t="s">
        <v>80</v>
      </c>
      <c r="V59" s="14" t="s">
        <v>82</v>
      </c>
      <c r="Y59" s="6"/>
      <c r="Z59" s="2"/>
      <c r="AA59" s="2"/>
      <c r="AB59" s="2"/>
      <c r="AC59" s="2"/>
      <c r="AD59" s="2"/>
      <c r="AE59" s="2"/>
      <c r="AF59" s="2"/>
      <c r="AG59" s="2"/>
      <c r="AH59" s="2"/>
    </row>
    <row r="60" spans="2:34" ht="12.75" x14ac:dyDescent="0.2">
      <c r="B60" s="355" t="str">
        <f>HYPERLINK("https://www.facebook.com/ZespriID/videos/1692373120839813/","7 May")</f>
        <v>7 May</v>
      </c>
      <c r="C60" s="174" t="s">
        <v>124</v>
      </c>
      <c r="D60" s="3">
        <v>7600</v>
      </c>
      <c r="E60" s="3">
        <v>419199</v>
      </c>
      <c r="F60" s="3">
        <v>617807</v>
      </c>
      <c r="G60" s="25">
        <f>D60/F60</f>
        <v>1.2301576382268248E-2</v>
      </c>
      <c r="H60" s="3">
        <v>6788</v>
      </c>
      <c r="I60" s="25">
        <f>IFERROR(H60/F60,0)</f>
        <v>1.0987250063531167E-2</v>
      </c>
      <c r="J60" s="3">
        <v>2486</v>
      </c>
      <c r="K60" s="27">
        <f>IFERROR(J60/F60,0)</f>
        <v>4.0239103797787982E-3</v>
      </c>
      <c r="L60" s="25">
        <v>1.4964220217640784E-2</v>
      </c>
      <c r="M60" s="25">
        <v>7.5266223917825467E-3</v>
      </c>
      <c r="N60" s="29">
        <v>5.1213404833548339E-3</v>
      </c>
      <c r="O60" s="27">
        <v>3.9737328971669143E-3</v>
      </c>
      <c r="P60" s="3">
        <v>79</v>
      </c>
      <c r="Q60" s="3" t="s">
        <v>34</v>
      </c>
      <c r="R60" s="3">
        <v>3</v>
      </c>
      <c r="S60" s="3">
        <v>805</v>
      </c>
      <c r="T60" s="3">
        <v>4</v>
      </c>
      <c r="U60" s="3">
        <v>5043</v>
      </c>
      <c r="V60" s="22">
        <v>390.41137499999996</v>
      </c>
      <c r="Y60" s="6"/>
      <c r="Z60" s="2"/>
      <c r="AA60" s="2"/>
      <c r="AB60" s="2"/>
      <c r="AC60" s="2"/>
      <c r="AD60" s="2"/>
      <c r="AE60" s="2"/>
      <c r="AF60" s="2"/>
      <c r="AG60" s="2"/>
      <c r="AH60" s="2"/>
    </row>
    <row r="61" spans="2:34" ht="15.75" customHeight="1" x14ac:dyDescent="0.2">
      <c r="B61" s="356"/>
      <c r="C61" s="174" t="s">
        <v>125</v>
      </c>
      <c r="D61" s="3">
        <v>7739</v>
      </c>
      <c r="E61" s="3">
        <v>556672</v>
      </c>
      <c r="F61" s="3">
        <v>801052</v>
      </c>
      <c r="G61" s="25">
        <f>D61/F61</f>
        <v>9.6610457248717928E-3</v>
      </c>
      <c r="H61" s="3">
        <v>6757</v>
      </c>
      <c r="I61" s="25">
        <f>IFERROR(H61/F61,0)</f>
        <v>8.4351577675356899E-3</v>
      </c>
      <c r="J61" s="3">
        <v>2536</v>
      </c>
      <c r="K61" s="27">
        <f>IFERROR(J61/F61,0)</f>
        <v>3.1658369244443557E-3</v>
      </c>
      <c r="L61" s="25">
        <v>1.1434963023623934E-2</v>
      </c>
      <c r="M61" s="25">
        <v>5.8360755606377615E-3</v>
      </c>
      <c r="N61" s="27">
        <v>4.0122239255379177E-3</v>
      </c>
      <c r="O61" s="27">
        <v>3.1371246810444264E-3</v>
      </c>
      <c r="P61" s="3">
        <v>101</v>
      </c>
      <c r="Q61" s="3" t="s">
        <v>34</v>
      </c>
      <c r="R61" s="3">
        <v>5</v>
      </c>
      <c r="S61" s="3">
        <v>970</v>
      </c>
      <c r="T61" s="3">
        <v>7</v>
      </c>
      <c r="U61" s="3">
        <v>6799</v>
      </c>
      <c r="V61" s="22">
        <v>390.41137499999996</v>
      </c>
      <c r="Y61" s="6"/>
      <c r="Z61" s="2"/>
      <c r="AA61" s="2"/>
      <c r="AB61" s="2"/>
      <c r="AC61" s="2"/>
      <c r="AD61" s="2"/>
      <c r="AE61" s="2"/>
      <c r="AF61" s="2"/>
      <c r="AG61" s="2"/>
      <c r="AH61" s="2"/>
    </row>
    <row r="62" spans="2:34" ht="15.75" customHeight="1" x14ac:dyDescent="0.2">
      <c r="B62" s="354" t="s">
        <v>126</v>
      </c>
      <c r="C62" s="354"/>
      <c r="D62" s="21">
        <f>SUM(D60:D61)</f>
        <v>15339</v>
      </c>
      <c r="E62" s="21">
        <f t="shared" ref="E62" si="48">SUM(E60:E61)</f>
        <v>975871</v>
      </c>
      <c r="F62" s="21">
        <f>SUM(F60:F61)</f>
        <v>1418859</v>
      </c>
      <c r="G62" s="26">
        <f>AVERAGE(G60:G61)</f>
        <v>1.098131105357002E-2</v>
      </c>
      <c r="H62" s="21">
        <f>SUM(H60:H61)</f>
        <v>13545</v>
      </c>
      <c r="I62" s="26">
        <f>IFERROR(AVERAGE(I60:I61),0)</f>
        <v>9.7112039155334284E-3</v>
      </c>
      <c r="J62" s="21">
        <f>SUM(J60:J61)</f>
        <v>5022</v>
      </c>
      <c r="K62" s="26">
        <f>IFERROR(AVERAGE(K60:K61),0)</f>
        <v>3.5948736521115767E-3</v>
      </c>
      <c r="L62" s="26">
        <f t="shared" ref="L62:O62" si="49">IFERROR(AVERAGE(L60:L61),0)</f>
        <v>1.3199591620632358E-2</v>
      </c>
      <c r="M62" s="26">
        <f t="shared" si="49"/>
        <v>6.6813489762101545E-3</v>
      </c>
      <c r="N62" s="26">
        <f t="shared" si="49"/>
        <v>4.5667822044463758E-3</v>
      </c>
      <c r="O62" s="26">
        <f t="shared" si="49"/>
        <v>3.5554287891056704E-3</v>
      </c>
      <c r="P62" s="21">
        <f t="shared" ref="P62:V62" si="50">SUM(P60:P61)</f>
        <v>180</v>
      </c>
      <c r="Q62" s="21" t="s">
        <v>34</v>
      </c>
      <c r="R62" s="21">
        <f t="shared" si="50"/>
        <v>8</v>
      </c>
      <c r="S62" s="21">
        <f t="shared" si="50"/>
        <v>1775</v>
      </c>
      <c r="T62" s="21">
        <f t="shared" si="50"/>
        <v>11</v>
      </c>
      <c r="U62" s="21">
        <f t="shared" si="50"/>
        <v>11842</v>
      </c>
      <c r="V62" s="23">
        <f t="shared" si="50"/>
        <v>780.82274999999993</v>
      </c>
      <c r="Y62" s="6"/>
      <c r="Z62" s="2"/>
      <c r="AA62" s="2"/>
      <c r="AB62" s="2"/>
      <c r="AC62" s="2"/>
      <c r="AD62" s="2"/>
      <c r="AE62" s="2"/>
      <c r="AF62" s="2"/>
      <c r="AG62" s="2"/>
      <c r="AH62" s="2"/>
    </row>
    <row r="63" spans="2:34" ht="15.75" customHeight="1" x14ac:dyDescent="0.2">
      <c r="B63" s="353" t="str">
        <f>HYPERLINK("https://www.facebook.com/ZespriID/posts/1698473383563120","13 May")</f>
        <v>13 May</v>
      </c>
      <c r="C63" s="174" t="s">
        <v>124</v>
      </c>
      <c r="D63" s="20">
        <v>3054</v>
      </c>
      <c r="E63" s="20">
        <v>387454</v>
      </c>
      <c r="F63" s="20">
        <v>482998</v>
      </c>
      <c r="G63" s="25">
        <f>D63/F63</f>
        <v>6.3230075486855018E-3</v>
      </c>
      <c r="H63" s="17" t="s">
        <v>34</v>
      </c>
      <c r="I63" s="25" t="s">
        <v>34</v>
      </c>
      <c r="J63" s="17" t="s">
        <v>34</v>
      </c>
      <c r="K63" s="25" t="s">
        <v>34</v>
      </c>
      <c r="L63" s="25" t="s">
        <v>34</v>
      </c>
      <c r="M63" s="25" t="s">
        <v>34</v>
      </c>
      <c r="N63" s="25" t="s">
        <v>34</v>
      </c>
      <c r="O63" s="25" t="s">
        <v>34</v>
      </c>
      <c r="P63" s="17">
        <v>71</v>
      </c>
      <c r="Q63" s="20">
        <v>1256</v>
      </c>
      <c r="R63" s="17">
        <v>3</v>
      </c>
      <c r="S63" s="20">
        <v>1767</v>
      </c>
      <c r="T63" s="17">
        <v>28</v>
      </c>
      <c r="U63" s="20">
        <v>4312</v>
      </c>
      <c r="V63" s="22">
        <f>1.41*276.8875</f>
        <v>390.41137499999996</v>
      </c>
      <c r="Y63" s="6"/>
      <c r="Z63" s="2"/>
      <c r="AA63" s="2"/>
      <c r="AB63" s="2"/>
      <c r="AC63" s="2"/>
      <c r="AD63" s="2"/>
      <c r="AE63" s="2"/>
      <c r="AF63" s="2"/>
      <c r="AG63" s="2"/>
      <c r="AH63" s="2"/>
    </row>
    <row r="64" spans="2:34" ht="15.75" customHeight="1" x14ac:dyDescent="0.2">
      <c r="B64" s="353"/>
      <c r="C64" s="174" t="s">
        <v>125</v>
      </c>
      <c r="D64" s="20">
        <v>3939</v>
      </c>
      <c r="E64" s="20">
        <v>528000</v>
      </c>
      <c r="F64" s="20">
        <v>645454</v>
      </c>
      <c r="G64" s="25">
        <f>D64/F64</f>
        <v>6.1026812135334197E-3</v>
      </c>
      <c r="H64" s="17" t="s">
        <v>34</v>
      </c>
      <c r="I64" s="25" t="s">
        <v>34</v>
      </c>
      <c r="J64" s="17" t="s">
        <v>34</v>
      </c>
      <c r="K64" s="25" t="s">
        <v>34</v>
      </c>
      <c r="L64" s="25" t="s">
        <v>34</v>
      </c>
      <c r="M64" s="25" t="s">
        <v>34</v>
      </c>
      <c r="N64" s="25" t="s">
        <v>34</v>
      </c>
      <c r="O64" s="25" t="s">
        <v>34</v>
      </c>
      <c r="P64" s="17">
        <v>84</v>
      </c>
      <c r="Q64" s="20">
        <v>1648</v>
      </c>
      <c r="R64" s="17">
        <v>2</v>
      </c>
      <c r="S64" s="20">
        <v>2255</v>
      </c>
      <c r="T64" s="17">
        <v>34</v>
      </c>
      <c r="U64" s="20">
        <v>5511</v>
      </c>
      <c r="V64" s="22">
        <f>1.41*276.8875</f>
        <v>390.41137499999996</v>
      </c>
      <c r="Y64" s="6"/>
      <c r="Z64" s="2"/>
      <c r="AA64" s="2"/>
      <c r="AB64" s="2"/>
      <c r="AC64" s="2"/>
      <c r="AD64" s="2"/>
      <c r="AE64" s="2"/>
      <c r="AF64" s="2"/>
      <c r="AG64" s="2"/>
      <c r="AH64" s="2"/>
    </row>
    <row r="65" spans="2:34" ht="15.75" customHeight="1" x14ac:dyDescent="0.2">
      <c r="B65" s="354" t="s">
        <v>126</v>
      </c>
      <c r="C65" s="354"/>
      <c r="D65" s="21">
        <f>SUM(D63:D64)</f>
        <v>6993</v>
      </c>
      <c r="E65" s="21">
        <f t="shared" ref="E65:F65" si="51">SUM(E63:E64)</f>
        <v>915454</v>
      </c>
      <c r="F65" s="21">
        <f t="shared" si="51"/>
        <v>1128452</v>
      </c>
      <c r="G65" s="26">
        <f>AVERAGE(G63:G64)</f>
        <v>6.2128443811094603E-3</v>
      </c>
      <c r="H65" s="19" t="s">
        <v>34</v>
      </c>
      <c r="I65" s="19" t="s">
        <v>34</v>
      </c>
      <c r="J65" s="19" t="s">
        <v>34</v>
      </c>
      <c r="K65" s="19" t="s">
        <v>34</v>
      </c>
      <c r="L65" s="19" t="s">
        <v>34</v>
      </c>
      <c r="M65" s="19" t="s">
        <v>34</v>
      </c>
      <c r="N65" s="19" t="s">
        <v>34</v>
      </c>
      <c r="O65" s="19" t="s">
        <v>34</v>
      </c>
      <c r="P65" s="21">
        <f t="shared" ref="P65:V65" si="52">SUM(P63:P64)</f>
        <v>155</v>
      </c>
      <c r="Q65" s="21">
        <f t="shared" si="52"/>
        <v>2904</v>
      </c>
      <c r="R65" s="21">
        <f t="shared" si="52"/>
        <v>5</v>
      </c>
      <c r="S65" s="21">
        <f t="shared" si="52"/>
        <v>4022</v>
      </c>
      <c r="T65" s="21">
        <f t="shared" si="52"/>
        <v>62</v>
      </c>
      <c r="U65" s="21">
        <f t="shared" si="52"/>
        <v>9823</v>
      </c>
      <c r="V65" s="23">
        <f t="shared" si="52"/>
        <v>780.82274999999993</v>
      </c>
      <c r="Y65" s="6"/>
      <c r="Z65" s="2"/>
      <c r="AA65" s="2"/>
      <c r="AB65" s="2"/>
      <c r="AC65" s="2"/>
      <c r="AD65" s="2"/>
      <c r="AE65" s="2"/>
      <c r="AF65" s="2"/>
      <c r="AG65" s="2"/>
      <c r="AH65" s="2"/>
    </row>
    <row r="66" spans="2:34" ht="15.75" customHeight="1" x14ac:dyDescent="0.2">
      <c r="B66" s="348" t="str">
        <f>HYPERLINK("https://www.facebook.com/ZespriID/videos/1704050383005420/","17 May")</f>
        <v>17 May</v>
      </c>
      <c r="C66" s="174" t="s">
        <v>124</v>
      </c>
      <c r="D66" s="20">
        <v>9867</v>
      </c>
      <c r="E66" s="20">
        <v>419884</v>
      </c>
      <c r="F66" s="20">
        <v>603876</v>
      </c>
      <c r="G66" s="25">
        <f>D66/F66</f>
        <v>1.6339447171273572E-2</v>
      </c>
      <c r="H66" s="20">
        <v>9144</v>
      </c>
      <c r="I66" s="25">
        <f>IFERROR(H66/F66,0)</f>
        <v>1.5142181507461798E-2</v>
      </c>
      <c r="J66" s="20">
        <v>6509</v>
      </c>
      <c r="K66" s="29">
        <f>IFERROR(J66/F66,0)</f>
        <v>1.0778702912518465E-2</v>
      </c>
      <c r="L66" s="25">
        <f>18554/F66</f>
        <v>3.0724850797183529E-2</v>
      </c>
      <c r="M66" s="25">
        <f>9952/F66</f>
        <v>1.6480204545304002E-2</v>
      </c>
      <c r="N66" s="25">
        <f>7657/F66</f>
        <v>1.267975544648239E-2</v>
      </c>
      <c r="O66" s="25">
        <f>6541/F66</f>
        <v>1.0831693923918155E-2</v>
      </c>
      <c r="P66" s="17">
        <v>78</v>
      </c>
      <c r="Q66" s="17" t="s">
        <v>34</v>
      </c>
      <c r="R66" s="17">
        <v>0</v>
      </c>
      <c r="S66" s="17">
        <v>717</v>
      </c>
      <c r="T66" s="17">
        <v>6</v>
      </c>
      <c r="U66" s="20">
        <v>7366</v>
      </c>
      <c r="V66" s="22">
        <f>1.41*276.8875</f>
        <v>390.41137499999996</v>
      </c>
      <c r="Y66" s="6"/>
      <c r="Z66" s="2"/>
      <c r="AA66" s="2"/>
      <c r="AB66" s="2"/>
      <c r="AC66" s="2"/>
      <c r="AD66" s="2"/>
      <c r="AE66" s="2"/>
      <c r="AF66" s="2"/>
      <c r="AG66" s="2"/>
      <c r="AH66" s="2"/>
    </row>
    <row r="67" spans="2:34" ht="15.75" customHeight="1" x14ac:dyDescent="0.2">
      <c r="B67" s="348"/>
      <c r="C67" s="174" t="s">
        <v>125</v>
      </c>
      <c r="D67" s="20">
        <v>8497</v>
      </c>
      <c r="E67" s="20">
        <v>550112</v>
      </c>
      <c r="F67" s="20">
        <v>787030</v>
      </c>
      <c r="G67" s="25">
        <f>D67/F67</f>
        <v>1.0796284766781444E-2</v>
      </c>
      <c r="H67" s="20">
        <v>7711</v>
      </c>
      <c r="I67" s="25">
        <f>IFERROR(H67/F67,0)</f>
        <v>9.7975934843652721E-3</v>
      </c>
      <c r="J67" s="20">
        <v>5537</v>
      </c>
      <c r="K67" s="27">
        <f>IFERROR(J67/F67,0)</f>
        <v>7.035309962771432E-3</v>
      </c>
      <c r="L67" s="25">
        <f>15752/F67</f>
        <v>2.0014484835393823E-2</v>
      </c>
      <c r="M67" s="25">
        <f>8418/F67</f>
        <v>1.0695907398701448E-2</v>
      </c>
      <c r="N67" s="25">
        <f>6476/F67</f>
        <v>8.2284029833678517E-3</v>
      </c>
      <c r="O67" s="25">
        <f>5577/F67</f>
        <v>7.0861339466094051E-3</v>
      </c>
      <c r="P67" s="17">
        <v>87</v>
      </c>
      <c r="Q67" s="17" t="s">
        <v>34</v>
      </c>
      <c r="R67" s="17">
        <v>5</v>
      </c>
      <c r="S67" s="17">
        <v>776</v>
      </c>
      <c r="T67" s="17">
        <v>5</v>
      </c>
      <c r="U67" s="20">
        <v>8377</v>
      </c>
      <c r="V67" s="22">
        <f>1.41*276.8875</f>
        <v>390.41137499999996</v>
      </c>
      <c r="Y67" s="6"/>
      <c r="Z67" s="2"/>
      <c r="AA67" s="2"/>
      <c r="AB67" s="2"/>
      <c r="AC67" s="2"/>
      <c r="AD67" s="2"/>
      <c r="AE67" s="2"/>
      <c r="AF67" s="2"/>
      <c r="AG67" s="2"/>
      <c r="AH67" s="2"/>
    </row>
    <row r="68" spans="2:34" ht="15.75" customHeight="1" x14ac:dyDescent="0.2">
      <c r="B68" s="354" t="s">
        <v>126</v>
      </c>
      <c r="C68" s="354"/>
      <c r="D68" s="21">
        <f>SUM(D66:D67)</f>
        <v>18364</v>
      </c>
      <c r="E68" s="21">
        <f t="shared" ref="E68:F68" si="53">SUM(E66:E67)</f>
        <v>969996</v>
      </c>
      <c r="F68" s="21">
        <f t="shared" si="53"/>
        <v>1390906</v>
      </c>
      <c r="G68" s="26">
        <f>AVERAGE(G66:G67)</f>
        <v>1.3567865969027508E-2</v>
      </c>
      <c r="H68" s="21">
        <f>SUM(H66:H67)</f>
        <v>16855</v>
      </c>
      <c r="I68" s="26">
        <f>IFERROR(AVERAGE(I66:I67),0)</f>
        <v>1.2469887495913535E-2</v>
      </c>
      <c r="J68" s="21">
        <f>SUM(J66:J67)</f>
        <v>12046</v>
      </c>
      <c r="K68" s="26">
        <f>IFERROR(AVERAGE(K66:K67),0)</f>
        <v>8.9070064376449484E-3</v>
      </c>
      <c r="L68" s="26">
        <f t="shared" ref="L68:O68" si="54">IFERROR(AVERAGE(L66:L67),0)</f>
        <v>2.5369667816288674E-2</v>
      </c>
      <c r="M68" s="26">
        <f t="shared" si="54"/>
        <v>1.3588055972002725E-2</v>
      </c>
      <c r="N68" s="26">
        <f t="shared" si="54"/>
        <v>1.0454079214925121E-2</v>
      </c>
      <c r="O68" s="26">
        <f t="shared" si="54"/>
        <v>8.9589139352637803E-3</v>
      </c>
      <c r="P68" s="21">
        <f t="shared" ref="P68:V68" si="55">SUM(P66:P67)</f>
        <v>165</v>
      </c>
      <c r="Q68" s="21" t="s">
        <v>34</v>
      </c>
      <c r="R68" s="21">
        <f t="shared" si="55"/>
        <v>5</v>
      </c>
      <c r="S68" s="21">
        <f t="shared" si="55"/>
        <v>1493</v>
      </c>
      <c r="T68" s="21">
        <f t="shared" si="55"/>
        <v>11</v>
      </c>
      <c r="U68" s="21">
        <f t="shared" si="55"/>
        <v>15743</v>
      </c>
      <c r="V68" s="23">
        <f t="shared" si="55"/>
        <v>780.82274999999993</v>
      </c>
      <c r="X68" s="6"/>
      <c r="Y68" s="2"/>
      <c r="Z68" s="2"/>
      <c r="AA68" s="2"/>
      <c r="AB68" s="2"/>
      <c r="AC68" s="2"/>
      <c r="AD68" s="2"/>
      <c r="AE68" s="2"/>
      <c r="AF68" s="2"/>
      <c r="AG68" s="2"/>
    </row>
    <row r="69" spans="2:34" ht="15.75" customHeight="1" x14ac:dyDescent="0.2">
      <c r="B69" s="348" t="str">
        <f>HYPERLINK("https://www.facebook.com/ZespriID/videos/1692374037506388/","28 May")</f>
        <v>28 May</v>
      </c>
      <c r="C69" s="174" t="s">
        <v>124</v>
      </c>
      <c r="D69" s="20">
        <v>11607</v>
      </c>
      <c r="E69" s="20">
        <v>316672</v>
      </c>
      <c r="F69" s="20">
        <v>424847</v>
      </c>
      <c r="G69" s="25">
        <f>D69/F69</f>
        <v>2.7320423587785719E-2</v>
      </c>
      <c r="H69" s="20">
        <v>10991</v>
      </c>
      <c r="I69" s="25">
        <f>IFERROR(H69/F69,0)</f>
        <v>2.5870489846933131E-2</v>
      </c>
      <c r="J69" s="17">
        <v>2166</v>
      </c>
      <c r="K69" s="29">
        <f>IFERROR(J69/F69,0)</f>
        <v>5.0983059783875134E-3</v>
      </c>
      <c r="L69" s="25">
        <v>2.2462204040513408E-2</v>
      </c>
      <c r="M69" s="25">
        <v>1.3145908997827454E-2</v>
      </c>
      <c r="N69" s="25">
        <v>8.4571622254599899E-3</v>
      </c>
      <c r="O69" s="27">
        <v>4.9829703399106029E-3</v>
      </c>
      <c r="P69" s="17">
        <v>40</v>
      </c>
      <c r="Q69" s="17" t="s">
        <v>34</v>
      </c>
      <c r="R69" s="17">
        <v>3</v>
      </c>
      <c r="S69" s="17">
        <v>606</v>
      </c>
      <c r="T69" s="17">
        <v>7</v>
      </c>
      <c r="U69" s="17">
        <v>5247</v>
      </c>
      <c r="V69" s="22">
        <v>278.45737500000001</v>
      </c>
      <c r="W69" s="32"/>
      <c r="X69" s="6"/>
      <c r="Y69" s="2"/>
      <c r="Z69" s="2"/>
      <c r="AA69" s="2"/>
      <c r="AB69" s="2"/>
      <c r="AC69" s="2"/>
      <c r="AD69" s="2"/>
      <c r="AE69" s="2"/>
      <c r="AF69" s="2"/>
      <c r="AG69" s="2"/>
    </row>
    <row r="70" spans="2:34" ht="15.75" customHeight="1" x14ac:dyDescent="0.2">
      <c r="B70" s="348"/>
      <c r="C70" s="174" t="s">
        <v>125</v>
      </c>
      <c r="D70" s="20">
        <v>10887</v>
      </c>
      <c r="E70" s="20">
        <v>426048</v>
      </c>
      <c r="F70" s="20">
        <v>561815</v>
      </c>
      <c r="G70" s="25">
        <f>D70/F70</f>
        <v>1.9378265087261821E-2</v>
      </c>
      <c r="H70" s="20">
        <v>10218</v>
      </c>
      <c r="I70" s="25">
        <f>IFERROR(H70/F70,0)</f>
        <v>1.8187481644313521E-2</v>
      </c>
      <c r="J70" s="17">
        <v>2047</v>
      </c>
      <c r="K70" s="27">
        <f>IFERROR(J70/F70,0)</f>
        <v>3.6435481430720077E-3</v>
      </c>
      <c r="L70" s="25">
        <v>1.5902031807623507E-2</v>
      </c>
      <c r="M70" s="25">
        <v>9.0100833904399134E-3</v>
      </c>
      <c r="N70" s="25">
        <v>5.8773795644473711E-3</v>
      </c>
      <c r="O70" s="27">
        <v>3.5705703834892268E-3</v>
      </c>
      <c r="P70" s="17">
        <v>43</v>
      </c>
      <c r="Q70" s="17" t="s">
        <v>34</v>
      </c>
      <c r="R70" s="17">
        <v>4</v>
      </c>
      <c r="S70" s="17">
        <v>663</v>
      </c>
      <c r="T70" s="17">
        <v>2</v>
      </c>
      <c r="U70" s="17">
        <v>6213</v>
      </c>
      <c r="V70" s="22">
        <v>278.47499999999997</v>
      </c>
      <c r="W70" s="32"/>
      <c r="X70" s="6"/>
      <c r="Y70" s="2"/>
      <c r="Z70" s="2"/>
      <c r="AA70" s="2"/>
      <c r="AB70" s="2"/>
      <c r="AC70" s="2"/>
      <c r="AD70" s="2"/>
      <c r="AE70" s="2"/>
      <c r="AF70" s="2"/>
      <c r="AG70" s="2"/>
    </row>
    <row r="71" spans="2:34" ht="15.75" customHeight="1" x14ac:dyDescent="0.2">
      <c r="B71" s="346" t="s">
        <v>126</v>
      </c>
      <c r="C71" s="347"/>
      <c r="D71" s="21">
        <f>SUM(D69:D70)</f>
        <v>22494</v>
      </c>
      <c r="E71" s="21">
        <f t="shared" ref="E71:F71" si="56">SUM(E69:E70)</f>
        <v>742720</v>
      </c>
      <c r="F71" s="21">
        <f t="shared" si="56"/>
        <v>986662</v>
      </c>
      <c r="G71" s="26">
        <f>AVERAGE(G69:G70)</f>
        <v>2.334934433752377E-2</v>
      </c>
      <c r="H71" s="21">
        <f>SUM(H69:H70)</f>
        <v>21209</v>
      </c>
      <c r="I71" s="26">
        <f>IFERROR(AVERAGE(I69:I70),0)</f>
        <v>2.2028985745623328E-2</v>
      </c>
      <c r="J71" s="21">
        <f>SUM(J69:J70)</f>
        <v>4213</v>
      </c>
      <c r="K71" s="28">
        <f>IFERROR(AVERAGE(K69:K70),0)</f>
        <v>4.3709270607297608E-3</v>
      </c>
      <c r="L71" s="26">
        <f t="shared" ref="L71:O71" si="57">IFERROR(AVERAGE(L69:L70),0)</f>
        <v>1.9182117924068459E-2</v>
      </c>
      <c r="M71" s="26">
        <f t="shared" si="57"/>
        <v>1.1077996194133684E-2</v>
      </c>
      <c r="N71" s="26">
        <f t="shared" si="57"/>
        <v>7.1672708949536805E-3</v>
      </c>
      <c r="O71" s="28">
        <f t="shared" si="57"/>
        <v>4.2767703616999149E-3</v>
      </c>
      <c r="P71" s="21">
        <f t="shared" ref="P71:V71" si="58">SUM(P69:P70)</f>
        <v>83</v>
      </c>
      <c r="Q71" s="21" t="s">
        <v>34</v>
      </c>
      <c r="R71" s="21">
        <f t="shared" si="58"/>
        <v>7</v>
      </c>
      <c r="S71" s="21">
        <f t="shared" si="58"/>
        <v>1269</v>
      </c>
      <c r="T71" s="21">
        <f t="shared" si="58"/>
        <v>9</v>
      </c>
      <c r="U71" s="21">
        <f t="shared" si="58"/>
        <v>11460</v>
      </c>
      <c r="V71" s="23">
        <f t="shared" si="58"/>
        <v>556.93237499999998</v>
      </c>
      <c r="W71" s="32"/>
      <c r="X71" s="6"/>
      <c r="Y71" s="2"/>
      <c r="Z71" s="2"/>
      <c r="AA71" s="2"/>
      <c r="AB71" s="2"/>
      <c r="AC71" s="2"/>
      <c r="AD71" s="2"/>
      <c r="AE71" s="2"/>
      <c r="AF71" s="2"/>
      <c r="AG71" s="2"/>
    </row>
    <row r="72" spans="2:34" ht="15.75" customHeight="1" x14ac:dyDescent="0.2">
      <c r="B72" s="348" t="str">
        <f>C25</f>
        <v>1 Jun</v>
      </c>
      <c r="C72" s="174" t="s">
        <v>124</v>
      </c>
      <c r="D72" s="20">
        <v>6692</v>
      </c>
      <c r="E72" s="20">
        <v>321920</v>
      </c>
      <c r="F72" s="20">
        <v>456738</v>
      </c>
      <c r="G72" s="25">
        <f>D72/F72</f>
        <v>1.465172593478099E-2</v>
      </c>
      <c r="H72" s="20">
        <v>5927</v>
      </c>
      <c r="I72" s="25">
        <f>IFERROR(H72/F72,0)</f>
        <v>1.2976805083001633E-2</v>
      </c>
      <c r="J72" s="20">
        <v>2104</v>
      </c>
      <c r="K72" s="27">
        <f>IFERROR(J72/F72,0)</f>
        <v>4.6065797021487154E-3</v>
      </c>
      <c r="L72" s="25">
        <v>1.9637078587724253E-2</v>
      </c>
      <c r="M72" s="25">
        <v>1.0730440646497554E-2</v>
      </c>
      <c r="N72" s="25">
        <v>6.585832577976871E-3</v>
      </c>
      <c r="O72" s="27">
        <v>4.4752133608326871E-3</v>
      </c>
      <c r="P72" s="17">
        <v>26</v>
      </c>
      <c r="Q72" s="17" t="s">
        <v>34</v>
      </c>
      <c r="R72" s="17">
        <v>0</v>
      </c>
      <c r="S72" s="17">
        <v>671</v>
      </c>
      <c r="T72" s="17">
        <v>2</v>
      </c>
      <c r="U72" s="17">
        <v>3847</v>
      </c>
      <c r="V72" s="22">
        <v>278.45737500000001</v>
      </c>
      <c r="W72" s="32"/>
      <c r="X72" s="6"/>
      <c r="Y72" s="2"/>
      <c r="Z72" s="2"/>
      <c r="AA72" s="2"/>
      <c r="AB72" s="2"/>
      <c r="AC72" s="2"/>
      <c r="AD72" s="2"/>
      <c r="AE72" s="2"/>
      <c r="AF72" s="2"/>
      <c r="AG72" s="2"/>
    </row>
    <row r="73" spans="2:34" ht="15.75" customHeight="1" x14ac:dyDescent="0.2">
      <c r="B73" s="348"/>
      <c r="C73" s="174" t="s">
        <v>125</v>
      </c>
      <c r="D73" s="20">
        <v>5922</v>
      </c>
      <c r="E73" s="20">
        <v>434305</v>
      </c>
      <c r="F73" s="20">
        <v>614604</v>
      </c>
      <c r="G73" s="25">
        <f>D73/F73</f>
        <v>9.6354725969892818E-3</v>
      </c>
      <c r="H73" s="20">
        <v>5136</v>
      </c>
      <c r="I73" s="25">
        <f>IFERROR(H73/F73,0)</f>
        <v>8.356600347540856E-3</v>
      </c>
      <c r="J73" s="20">
        <v>1899</v>
      </c>
      <c r="K73" s="27">
        <f>IFERROR(J73/F73,0)</f>
        <v>3.0897944042017297E-3</v>
      </c>
      <c r="L73" s="25">
        <v>1.2679709211134324E-2</v>
      </c>
      <c r="M73" s="25">
        <v>6.9605794950895212E-3</v>
      </c>
      <c r="N73" s="27">
        <v>4.3019570324957209E-3</v>
      </c>
      <c r="O73" s="27">
        <v>3.0735237648957703E-3</v>
      </c>
      <c r="P73" s="17">
        <v>44</v>
      </c>
      <c r="Q73" s="17" t="s">
        <v>34</v>
      </c>
      <c r="R73" s="17">
        <v>2</v>
      </c>
      <c r="S73" s="17">
        <v>657</v>
      </c>
      <c r="T73" s="17">
        <v>4</v>
      </c>
      <c r="U73" s="17">
        <v>4705</v>
      </c>
      <c r="V73" s="22">
        <v>278.43975</v>
      </c>
      <c r="W73" s="32"/>
      <c r="X73" s="6"/>
      <c r="Y73" s="2"/>
      <c r="Z73" s="2"/>
      <c r="AA73" s="2"/>
      <c r="AB73" s="2"/>
      <c r="AC73" s="2"/>
      <c r="AD73" s="2"/>
      <c r="AE73" s="2"/>
      <c r="AF73" s="2"/>
      <c r="AG73" s="2"/>
    </row>
    <row r="74" spans="2:34" ht="15.75" customHeight="1" x14ac:dyDescent="0.2">
      <c r="B74" s="346" t="s">
        <v>126</v>
      </c>
      <c r="C74" s="347"/>
      <c r="D74" s="21">
        <f>SUM(D72:D73)</f>
        <v>12614</v>
      </c>
      <c r="E74" s="21">
        <f t="shared" ref="E74:F74" si="59">SUM(E72:E73)</f>
        <v>756225</v>
      </c>
      <c r="F74" s="21">
        <f t="shared" si="59"/>
        <v>1071342</v>
      </c>
      <c r="G74" s="26">
        <f>AVERAGE(G72:G73)</f>
        <v>1.2143599265885135E-2</v>
      </c>
      <c r="H74" s="21">
        <f>SUM(H72:H73)</f>
        <v>11063</v>
      </c>
      <c r="I74" s="26">
        <f>IFERROR(AVERAGE(I72:I73),0)</f>
        <v>1.0666702715271245E-2</v>
      </c>
      <c r="J74" s="21">
        <f>SUM(J72:J73)</f>
        <v>4003</v>
      </c>
      <c r="K74" s="28">
        <f>IFERROR(AVERAGE(K72:K73),0)</f>
        <v>3.8481870531752223E-3</v>
      </c>
      <c r="L74" s="26">
        <f t="shared" ref="L74:O74" si="60">IFERROR(AVERAGE(L72:L73),0)</f>
        <v>1.6158393899429288E-2</v>
      </c>
      <c r="M74" s="26">
        <f t="shared" si="60"/>
        <v>8.8455100707935386E-3</v>
      </c>
      <c r="N74" s="26">
        <f t="shared" si="60"/>
        <v>5.4438948052362955E-3</v>
      </c>
      <c r="O74" s="28">
        <f t="shared" si="60"/>
        <v>3.7743685628642285E-3</v>
      </c>
      <c r="P74" s="21">
        <f t="shared" ref="P74:V74" si="61">SUM(P72:P73)</f>
        <v>70</v>
      </c>
      <c r="Q74" s="21" t="s">
        <v>34</v>
      </c>
      <c r="R74" s="21">
        <f t="shared" si="61"/>
        <v>2</v>
      </c>
      <c r="S74" s="21">
        <f t="shared" si="61"/>
        <v>1328</v>
      </c>
      <c r="T74" s="21">
        <f t="shared" si="61"/>
        <v>6</v>
      </c>
      <c r="U74" s="21">
        <f t="shared" si="61"/>
        <v>8552</v>
      </c>
      <c r="V74" s="23">
        <f t="shared" si="61"/>
        <v>556.89712499999996</v>
      </c>
      <c r="W74" s="32"/>
      <c r="X74" s="6"/>
      <c r="Y74" s="2"/>
      <c r="Z74" s="2"/>
      <c r="AA74" s="2"/>
      <c r="AB74" s="2"/>
      <c r="AC74" s="2"/>
      <c r="AD74" s="2"/>
      <c r="AE74" s="2"/>
      <c r="AF74" s="2"/>
      <c r="AG74" s="2"/>
    </row>
    <row r="75" spans="2:34" ht="15.75" customHeight="1" x14ac:dyDescent="0.2">
      <c r="B75" s="348" t="str">
        <f>C26</f>
        <v>5 Jun</v>
      </c>
      <c r="C75" s="174" t="s">
        <v>124</v>
      </c>
      <c r="D75" s="20">
        <v>3242</v>
      </c>
      <c r="E75" s="20">
        <v>291584</v>
      </c>
      <c r="F75" s="20">
        <v>411814</v>
      </c>
      <c r="G75" s="25">
        <f>D75/F75</f>
        <v>7.8724861223756354E-3</v>
      </c>
      <c r="H75" s="20">
        <v>2807</v>
      </c>
      <c r="I75" s="25">
        <f>IFERROR(H75/F75,0)</f>
        <v>6.8161840054004963E-3</v>
      </c>
      <c r="J75" s="20">
        <v>1212</v>
      </c>
      <c r="K75" s="27">
        <f>IFERROR(J75/F75,0)</f>
        <v>2.9430762431583192E-3</v>
      </c>
      <c r="L75" s="25">
        <v>1.2631916350585458E-2</v>
      </c>
      <c r="M75" s="25">
        <v>5.665178940006896E-3</v>
      </c>
      <c r="N75" s="27">
        <v>3.9605258684746025E-3</v>
      </c>
      <c r="O75" s="27">
        <v>3.0062115421039598E-3</v>
      </c>
      <c r="P75" s="17">
        <v>23</v>
      </c>
      <c r="Q75" s="17" t="s">
        <v>34</v>
      </c>
      <c r="R75" s="20">
        <v>0</v>
      </c>
      <c r="S75" s="20">
        <v>433</v>
      </c>
      <c r="T75" s="20">
        <v>2</v>
      </c>
      <c r="U75" s="20">
        <v>2673</v>
      </c>
      <c r="V75" s="22">
        <v>278.47499999999997</v>
      </c>
      <c r="W75" s="32"/>
      <c r="X75" s="6"/>
      <c r="Y75" s="2"/>
      <c r="Z75" s="2"/>
      <c r="AA75" s="2"/>
      <c r="AB75" s="2"/>
      <c r="AC75" s="2"/>
      <c r="AD75" s="2"/>
      <c r="AE75" s="2"/>
      <c r="AF75" s="2"/>
      <c r="AG75" s="2"/>
    </row>
    <row r="76" spans="2:34" ht="15.75" customHeight="1" x14ac:dyDescent="0.2">
      <c r="B76" s="348"/>
      <c r="C76" s="174" t="s">
        <v>125</v>
      </c>
      <c r="D76" s="20">
        <v>3329</v>
      </c>
      <c r="E76" s="20">
        <v>380095</v>
      </c>
      <c r="F76" s="20">
        <v>545365</v>
      </c>
      <c r="G76" s="25">
        <f>D76/F76</f>
        <v>6.1041687677060317E-3</v>
      </c>
      <c r="H76" s="20">
        <v>2811</v>
      </c>
      <c r="I76" s="25">
        <f>IFERROR(H76/F76,0)</f>
        <v>5.1543461718298756E-3</v>
      </c>
      <c r="J76" s="20">
        <v>1221</v>
      </c>
      <c r="K76" s="27">
        <f>IFERROR(J76/F76,0)</f>
        <v>2.2388675474223686E-3</v>
      </c>
      <c r="L76" s="25">
        <v>9.3093616201993159E-3</v>
      </c>
      <c r="M76" s="27">
        <v>4.3768852053212067E-3</v>
      </c>
      <c r="N76" s="27">
        <v>3.0695039102252618E-3</v>
      </c>
      <c r="O76" s="27">
        <v>2.2443684504872882E-3</v>
      </c>
      <c r="P76" s="17">
        <v>21</v>
      </c>
      <c r="Q76" s="17" t="s">
        <v>34</v>
      </c>
      <c r="R76" s="20">
        <v>2</v>
      </c>
      <c r="S76" s="20">
        <v>515</v>
      </c>
      <c r="T76" s="20">
        <v>1</v>
      </c>
      <c r="U76" s="20">
        <v>3546</v>
      </c>
      <c r="V76" s="22">
        <v>278.47499999999997</v>
      </c>
      <c r="W76" s="32"/>
      <c r="X76" s="6"/>
      <c r="Y76" s="2"/>
      <c r="Z76" s="2"/>
      <c r="AA76" s="2"/>
      <c r="AB76" s="2"/>
      <c r="AC76" s="2"/>
      <c r="AD76" s="2"/>
      <c r="AE76" s="2"/>
      <c r="AF76" s="2"/>
      <c r="AG76" s="2"/>
    </row>
    <row r="77" spans="2:34" ht="15.75" customHeight="1" x14ac:dyDescent="0.2">
      <c r="B77" s="346" t="s">
        <v>126</v>
      </c>
      <c r="C77" s="347"/>
      <c r="D77" s="21">
        <f>SUM(D75:D76)</f>
        <v>6571</v>
      </c>
      <c r="E77" s="21">
        <f t="shared" ref="E77:F77" si="62">SUM(E75:E76)</f>
        <v>671679</v>
      </c>
      <c r="F77" s="21">
        <f t="shared" si="62"/>
        <v>957179</v>
      </c>
      <c r="G77" s="26">
        <f>AVERAGE(G75:G76)</f>
        <v>6.9883274450408331E-3</v>
      </c>
      <c r="H77" s="21">
        <f>SUM(H75:H76)</f>
        <v>5618</v>
      </c>
      <c r="I77" s="26">
        <f>IFERROR(AVERAGE(I75:I76),0)</f>
        <v>5.9852650886151864E-3</v>
      </c>
      <c r="J77" s="21">
        <f>SUM(J75:J76)</f>
        <v>2433</v>
      </c>
      <c r="K77" s="26">
        <f>IFERROR(AVERAGE(K75:K76),0)</f>
        <v>2.5909718952903437E-3</v>
      </c>
      <c r="L77" s="26">
        <f t="shared" ref="L77:O77" si="63">IFERROR(AVERAGE(L75:L76),0)</f>
        <v>1.0970638985392387E-2</v>
      </c>
      <c r="M77" s="26">
        <f t="shared" si="63"/>
        <v>5.0210320726640518E-3</v>
      </c>
      <c r="N77" s="28">
        <f t="shared" si="63"/>
        <v>3.5150148893499321E-3</v>
      </c>
      <c r="O77" s="28">
        <f t="shared" si="63"/>
        <v>2.625289996295624E-3</v>
      </c>
      <c r="P77" s="21">
        <f t="shared" ref="P77:V77" si="64">SUM(P75:P76)</f>
        <v>44</v>
      </c>
      <c r="Q77" s="21" t="s">
        <v>34</v>
      </c>
      <c r="R77" s="21">
        <f t="shared" si="64"/>
        <v>2</v>
      </c>
      <c r="S77" s="21">
        <f t="shared" si="64"/>
        <v>948</v>
      </c>
      <c r="T77" s="21">
        <f t="shared" si="64"/>
        <v>3</v>
      </c>
      <c r="U77" s="21">
        <f t="shared" si="64"/>
        <v>6219</v>
      </c>
      <c r="V77" s="23">
        <f t="shared" si="64"/>
        <v>556.94999999999993</v>
      </c>
      <c r="W77" s="32"/>
      <c r="X77" s="6"/>
      <c r="Y77" s="2"/>
      <c r="Z77" s="2"/>
      <c r="AA77" s="2"/>
      <c r="AB77" s="2"/>
      <c r="AC77" s="2"/>
      <c r="AD77" s="2"/>
      <c r="AE77" s="2"/>
      <c r="AF77" s="2"/>
      <c r="AG77" s="2"/>
    </row>
    <row r="78" spans="2:34" ht="15.75" customHeight="1" x14ac:dyDescent="0.2">
      <c r="B78" s="348" t="str">
        <f>C27</f>
        <v>15 Jun</v>
      </c>
      <c r="C78" s="174" t="s">
        <v>124</v>
      </c>
      <c r="D78" s="20">
        <v>7617</v>
      </c>
      <c r="E78" s="20">
        <v>417664</v>
      </c>
      <c r="F78" s="20">
        <v>590001</v>
      </c>
      <c r="G78" s="25">
        <f>D78/F78</f>
        <v>1.2910147609919305E-2</v>
      </c>
      <c r="H78" s="20">
        <v>6832</v>
      </c>
      <c r="I78" s="25">
        <f>IFERROR(H78/F78,0)</f>
        <v>1.157964139043832E-2</v>
      </c>
      <c r="J78" s="20">
        <v>3332</v>
      </c>
      <c r="K78" s="29">
        <f>IFERROR(J78/F78,0)</f>
        <v>5.6474480551727876E-3</v>
      </c>
      <c r="L78" s="25">
        <v>2.2811825742668233E-2</v>
      </c>
      <c r="M78" s="25">
        <v>1.1955911939132306E-2</v>
      </c>
      <c r="N78" s="29">
        <v>7.6118515053364318E-3</v>
      </c>
      <c r="O78" s="29">
        <v>5.484736466548362E-3</v>
      </c>
      <c r="P78" s="17">
        <v>42</v>
      </c>
      <c r="Q78" s="17" t="s">
        <v>34</v>
      </c>
      <c r="R78" s="20">
        <v>4</v>
      </c>
      <c r="S78" s="20">
        <v>762</v>
      </c>
      <c r="T78" s="20">
        <v>19</v>
      </c>
      <c r="U78" s="20">
        <v>4958</v>
      </c>
      <c r="V78" s="22">
        <v>278.47499999999997</v>
      </c>
      <c r="W78" s="32"/>
      <c r="X78" s="6"/>
      <c r="Y78" s="2"/>
      <c r="Z78" s="2"/>
      <c r="AA78" s="2"/>
      <c r="AB78" s="2"/>
      <c r="AC78" s="2"/>
      <c r="AD78" s="2"/>
      <c r="AE78" s="2"/>
      <c r="AF78" s="2"/>
      <c r="AG78" s="2"/>
    </row>
    <row r="79" spans="2:34" ht="15.75" customHeight="1" x14ac:dyDescent="0.2">
      <c r="B79" s="348"/>
      <c r="C79" s="174" t="s">
        <v>125</v>
      </c>
      <c r="D79" s="20">
        <v>8148</v>
      </c>
      <c r="E79" s="20">
        <v>561665</v>
      </c>
      <c r="F79" s="20">
        <v>787628</v>
      </c>
      <c r="G79" s="25">
        <f>D79/F79</f>
        <v>1.0344985196057022E-2</v>
      </c>
      <c r="H79" s="20">
        <v>7245</v>
      </c>
      <c r="I79" s="25">
        <f>IFERROR(H79/F79,0)</f>
        <v>9.1985048779373007E-3</v>
      </c>
      <c r="J79" s="20">
        <v>3702</v>
      </c>
      <c r="K79" s="27">
        <f>IFERROR(J79/F79,0)</f>
        <v>4.7001884138197217E-3</v>
      </c>
      <c r="L79" s="25">
        <v>1.7885346889648414E-2</v>
      </c>
      <c r="M79" s="29">
        <v>9.5095654293651313E-3</v>
      </c>
      <c r="N79" s="29">
        <v>6.2821535039384079E-3</v>
      </c>
      <c r="O79" s="27">
        <v>4.63162812901522E-3</v>
      </c>
      <c r="P79" s="17">
        <v>61</v>
      </c>
      <c r="Q79" s="17" t="s">
        <v>34</v>
      </c>
      <c r="R79" s="20">
        <v>2</v>
      </c>
      <c r="S79" s="20">
        <v>893</v>
      </c>
      <c r="T79" s="20">
        <v>8</v>
      </c>
      <c r="U79" s="20">
        <v>6279</v>
      </c>
      <c r="V79" s="22">
        <v>278.47499999999997</v>
      </c>
      <c r="W79" s="32"/>
      <c r="X79" s="6"/>
      <c r="Y79" s="2"/>
      <c r="Z79" s="2"/>
      <c r="AA79" s="2"/>
      <c r="AB79" s="2"/>
      <c r="AC79" s="2"/>
      <c r="AD79" s="2"/>
      <c r="AE79" s="2"/>
      <c r="AF79" s="2"/>
      <c r="AG79" s="2"/>
    </row>
    <row r="80" spans="2:34" ht="15.75" customHeight="1" x14ac:dyDescent="0.2">
      <c r="B80" s="346" t="s">
        <v>126</v>
      </c>
      <c r="C80" s="347"/>
      <c r="D80" s="21">
        <f>SUM(D78:D79)</f>
        <v>15765</v>
      </c>
      <c r="E80" s="21">
        <f t="shared" ref="E80:F80" si="65">SUM(E78:E79)</f>
        <v>979329</v>
      </c>
      <c r="F80" s="21">
        <f t="shared" si="65"/>
        <v>1377629</v>
      </c>
      <c r="G80" s="26">
        <f>AVERAGE(G78:G79)</f>
        <v>1.1627566402988163E-2</v>
      </c>
      <c r="H80" s="21">
        <f>SUM(H78:H79)</f>
        <v>14077</v>
      </c>
      <c r="I80" s="26">
        <f>IFERROR(AVERAGE(I78:I79),0)</f>
        <v>1.0389073134187811E-2</v>
      </c>
      <c r="J80" s="21">
        <f>SUM(J78:J79)</f>
        <v>7034</v>
      </c>
      <c r="K80" s="26">
        <f>IFERROR(AVERAGE(K78:K79),0)</f>
        <v>5.1738182344962542E-3</v>
      </c>
      <c r="L80" s="26">
        <f t="shared" ref="L80:O80" si="66">IFERROR(AVERAGE(L78:L79),0)</f>
        <v>2.0348586316158324E-2</v>
      </c>
      <c r="M80" s="26">
        <f t="shared" si="66"/>
        <v>1.0732738684248719E-2</v>
      </c>
      <c r="N80" s="137">
        <f t="shared" si="66"/>
        <v>6.9470025046374194E-3</v>
      </c>
      <c r="O80" s="137">
        <f t="shared" si="66"/>
        <v>5.058182297781791E-3</v>
      </c>
      <c r="P80" s="21">
        <f t="shared" ref="P80" si="67">SUM(P78:P79)</f>
        <v>103</v>
      </c>
      <c r="Q80" s="21" t="s">
        <v>34</v>
      </c>
      <c r="R80" s="21">
        <f t="shared" ref="R80:V80" si="68">SUM(R78:R79)</f>
        <v>6</v>
      </c>
      <c r="S80" s="21">
        <f t="shared" si="68"/>
        <v>1655</v>
      </c>
      <c r="T80" s="21">
        <f t="shared" si="68"/>
        <v>27</v>
      </c>
      <c r="U80" s="21">
        <f t="shared" si="68"/>
        <v>11237</v>
      </c>
      <c r="V80" s="23">
        <f t="shared" si="68"/>
        <v>556.94999999999993</v>
      </c>
      <c r="W80" s="32"/>
      <c r="X80" s="6"/>
      <c r="Y80" s="2"/>
      <c r="Z80" s="2"/>
      <c r="AA80" s="2"/>
      <c r="AB80" s="2"/>
      <c r="AC80" s="2"/>
      <c r="AD80" s="2"/>
      <c r="AE80" s="2"/>
      <c r="AF80" s="2"/>
      <c r="AG80" s="2"/>
    </row>
    <row r="81" spans="2:33" ht="15.75" customHeight="1" x14ac:dyDescent="0.2">
      <c r="B81" s="348" t="str">
        <f>C28</f>
        <v>22 Jun</v>
      </c>
      <c r="C81" s="174" t="s">
        <v>124</v>
      </c>
      <c r="D81" s="20">
        <v>1808</v>
      </c>
      <c r="E81" s="20">
        <v>358912</v>
      </c>
      <c r="F81" s="20">
        <v>467565</v>
      </c>
      <c r="G81" s="27">
        <f>D81/F81</f>
        <v>3.8668420433522611E-3</v>
      </c>
      <c r="H81" s="17" t="s">
        <v>34</v>
      </c>
      <c r="I81" s="25" t="s">
        <v>34</v>
      </c>
      <c r="J81" s="17" t="s">
        <v>34</v>
      </c>
      <c r="K81" s="25" t="s">
        <v>34</v>
      </c>
      <c r="L81" s="25" t="s">
        <v>34</v>
      </c>
      <c r="M81" s="25" t="s">
        <v>34</v>
      </c>
      <c r="N81" s="25" t="s">
        <v>34</v>
      </c>
      <c r="O81" s="25" t="s">
        <v>34</v>
      </c>
      <c r="P81" s="17">
        <v>54</v>
      </c>
      <c r="Q81" s="17">
        <v>1106</v>
      </c>
      <c r="R81" s="20">
        <v>0</v>
      </c>
      <c r="S81" s="20">
        <v>595</v>
      </c>
      <c r="T81" s="20">
        <v>3</v>
      </c>
      <c r="U81" s="20">
        <v>2728</v>
      </c>
      <c r="V81" s="22">
        <v>278.47499999999997</v>
      </c>
      <c r="W81" s="32"/>
      <c r="X81" s="6"/>
      <c r="Y81" s="2"/>
      <c r="Z81" s="2"/>
      <c r="AA81" s="2"/>
      <c r="AB81" s="2"/>
      <c r="AC81" s="2"/>
      <c r="AD81" s="2"/>
      <c r="AE81" s="2"/>
      <c r="AF81" s="2"/>
      <c r="AG81" s="2"/>
    </row>
    <row r="82" spans="2:33" ht="15.75" customHeight="1" x14ac:dyDescent="0.2">
      <c r="B82" s="348"/>
      <c r="C82" s="174" t="s">
        <v>125</v>
      </c>
      <c r="D82" s="20">
        <v>2320</v>
      </c>
      <c r="E82" s="20">
        <v>493824</v>
      </c>
      <c r="F82" s="20">
        <v>650706</v>
      </c>
      <c r="G82" s="27">
        <f>D82/F82</f>
        <v>3.5653582416636698E-3</v>
      </c>
      <c r="H82" s="17" t="s">
        <v>34</v>
      </c>
      <c r="I82" s="25" t="s">
        <v>34</v>
      </c>
      <c r="J82" s="17" t="s">
        <v>34</v>
      </c>
      <c r="K82" s="25" t="s">
        <v>34</v>
      </c>
      <c r="L82" s="25" t="s">
        <v>34</v>
      </c>
      <c r="M82" s="25" t="s">
        <v>34</v>
      </c>
      <c r="N82" s="25" t="s">
        <v>34</v>
      </c>
      <c r="O82" s="25" t="s">
        <v>34</v>
      </c>
      <c r="P82" s="17">
        <v>60</v>
      </c>
      <c r="Q82" s="17">
        <v>1430</v>
      </c>
      <c r="R82" s="20">
        <v>1</v>
      </c>
      <c r="S82" s="20">
        <v>734</v>
      </c>
      <c r="T82" s="20">
        <v>2</v>
      </c>
      <c r="U82" s="20">
        <v>3541</v>
      </c>
      <c r="V82" s="22">
        <v>278.47499999999997</v>
      </c>
      <c r="W82" s="32"/>
      <c r="X82" s="6"/>
      <c r="Y82" s="2"/>
      <c r="Z82" s="2"/>
      <c r="AA82" s="2"/>
      <c r="AB82" s="2"/>
      <c r="AC82" s="2"/>
      <c r="AD82" s="2"/>
      <c r="AE82" s="2"/>
      <c r="AF82" s="2"/>
      <c r="AG82" s="2"/>
    </row>
    <row r="83" spans="2:33" ht="15.75" customHeight="1" x14ac:dyDescent="0.2">
      <c r="B83" s="346" t="s">
        <v>126</v>
      </c>
      <c r="C83" s="347"/>
      <c r="D83" s="21">
        <f>SUM(D81:D82)</f>
        <v>4128</v>
      </c>
      <c r="E83" s="21">
        <f t="shared" ref="E83:F83" si="69">SUM(E81:E82)</f>
        <v>852736</v>
      </c>
      <c r="F83" s="21">
        <f t="shared" si="69"/>
        <v>1118271</v>
      </c>
      <c r="G83" s="28">
        <f>AVERAGE(G81:G82)</f>
        <v>3.7161001425079655E-3</v>
      </c>
      <c r="H83" s="19" t="s">
        <v>34</v>
      </c>
      <c r="I83" s="19" t="s">
        <v>34</v>
      </c>
      <c r="J83" s="19" t="s">
        <v>34</v>
      </c>
      <c r="K83" s="19" t="s">
        <v>34</v>
      </c>
      <c r="L83" s="19" t="s">
        <v>34</v>
      </c>
      <c r="M83" s="19" t="s">
        <v>34</v>
      </c>
      <c r="N83" s="19" t="s">
        <v>34</v>
      </c>
      <c r="O83" s="19" t="s">
        <v>34</v>
      </c>
      <c r="P83" s="21">
        <f t="shared" ref="P83:Q83" si="70">SUM(P81:P82)</f>
        <v>114</v>
      </c>
      <c r="Q83" s="21">
        <f t="shared" si="70"/>
        <v>2536</v>
      </c>
      <c r="R83" s="21">
        <f t="shared" ref="R83:V83" si="71">SUM(R81:R82)</f>
        <v>1</v>
      </c>
      <c r="S83" s="21">
        <f t="shared" si="71"/>
        <v>1329</v>
      </c>
      <c r="T83" s="21">
        <f t="shared" si="71"/>
        <v>5</v>
      </c>
      <c r="U83" s="21">
        <f t="shared" si="71"/>
        <v>6269</v>
      </c>
      <c r="V83" s="23">
        <f t="shared" si="71"/>
        <v>556.94999999999993</v>
      </c>
      <c r="W83" s="32"/>
      <c r="X83" s="6"/>
      <c r="Y83" s="2"/>
      <c r="Z83" s="2"/>
      <c r="AA83" s="2"/>
      <c r="AB83" s="2"/>
      <c r="AC83" s="2"/>
      <c r="AD83" s="2"/>
      <c r="AE83" s="2"/>
      <c r="AF83" s="2"/>
      <c r="AG83" s="2"/>
    </row>
    <row r="84" spans="2:33" ht="15.75" customHeight="1" x14ac:dyDescent="0.2">
      <c r="B84" s="348" t="str">
        <f>C29</f>
        <v>27 Jun</v>
      </c>
      <c r="C84" s="174" t="s">
        <v>124</v>
      </c>
      <c r="D84" s="20">
        <v>1851</v>
      </c>
      <c r="E84" s="20">
        <v>344640</v>
      </c>
      <c r="F84" s="20">
        <v>434047</v>
      </c>
      <c r="G84" s="27">
        <f>D84/F84</f>
        <v>4.2645151331537831E-3</v>
      </c>
      <c r="H84" s="20" t="s">
        <v>34</v>
      </c>
      <c r="I84" s="25" t="s">
        <v>34</v>
      </c>
      <c r="J84" s="20" t="s">
        <v>34</v>
      </c>
      <c r="K84" s="29" t="s">
        <v>34</v>
      </c>
      <c r="L84" s="25" t="s">
        <v>34</v>
      </c>
      <c r="M84" s="25" t="s">
        <v>34</v>
      </c>
      <c r="N84" s="29" t="s">
        <v>34</v>
      </c>
      <c r="O84" s="29" t="s">
        <v>34</v>
      </c>
      <c r="P84" s="17">
        <v>47</v>
      </c>
      <c r="Q84" s="17">
        <v>1079</v>
      </c>
      <c r="R84" s="20">
        <v>4</v>
      </c>
      <c r="S84" s="20">
        <v>764</v>
      </c>
      <c r="T84" s="20">
        <v>4</v>
      </c>
      <c r="U84" s="20">
        <v>2795</v>
      </c>
      <c r="V84" s="22">
        <v>278.47499999999997</v>
      </c>
      <c r="W84" s="32"/>
      <c r="X84" s="6"/>
      <c r="Y84" s="2"/>
      <c r="Z84" s="2"/>
      <c r="AA84" s="2"/>
      <c r="AB84" s="2"/>
      <c r="AC84" s="2"/>
      <c r="AD84" s="2"/>
      <c r="AE84" s="2"/>
      <c r="AF84" s="2"/>
      <c r="AG84" s="2"/>
    </row>
    <row r="85" spans="2:33" ht="15.75" customHeight="1" x14ac:dyDescent="0.2">
      <c r="B85" s="348"/>
      <c r="C85" s="174" t="s">
        <v>125</v>
      </c>
      <c r="D85" s="20">
        <v>2394</v>
      </c>
      <c r="E85" s="20">
        <v>512128</v>
      </c>
      <c r="F85" s="20">
        <v>639373</v>
      </c>
      <c r="G85" s="27">
        <f>D85/F85</f>
        <v>3.7442932372808986E-3</v>
      </c>
      <c r="H85" s="20" t="s">
        <v>34</v>
      </c>
      <c r="I85" s="25" t="s">
        <v>34</v>
      </c>
      <c r="J85" s="20" t="s">
        <v>34</v>
      </c>
      <c r="K85" s="27" t="s">
        <v>34</v>
      </c>
      <c r="L85" s="25" t="s">
        <v>34</v>
      </c>
      <c r="M85" s="29" t="s">
        <v>34</v>
      </c>
      <c r="N85" s="29" t="s">
        <v>34</v>
      </c>
      <c r="O85" s="27" t="s">
        <v>34</v>
      </c>
      <c r="P85" s="17">
        <v>70</v>
      </c>
      <c r="Q85" s="17">
        <v>1519</v>
      </c>
      <c r="R85" s="20">
        <v>2</v>
      </c>
      <c r="S85" s="20">
        <v>870</v>
      </c>
      <c r="T85" s="20">
        <v>3</v>
      </c>
      <c r="U85" s="20">
        <v>3745</v>
      </c>
      <c r="V85" s="22">
        <v>278.47499999999997</v>
      </c>
      <c r="W85" s="32"/>
      <c r="X85" s="6"/>
      <c r="Y85" s="2"/>
      <c r="Z85" s="2"/>
      <c r="AA85" s="2"/>
      <c r="AB85" s="2"/>
      <c r="AC85" s="2"/>
      <c r="AD85" s="2"/>
      <c r="AE85" s="2"/>
      <c r="AF85" s="2"/>
      <c r="AG85" s="2"/>
    </row>
    <row r="86" spans="2:33" ht="15.75" customHeight="1" x14ac:dyDescent="0.2">
      <c r="B86" s="346" t="s">
        <v>126</v>
      </c>
      <c r="C86" s="347"/>
      <c r="D86" s="21">
        <f>SUM(D84:D85)</f>
        <v>4245</v>
      </c>
      <c r="E86" s="21">
        <f t="shared" ref="E86:F86" si="72">SUM(E84:E85)</f>
        <v>856768</v>
      </c>
      <c r="F86" s="21">
        <f t="shared" si="72"/>
        <v>1073420</v>
      </c>
      <c r="G86" s="28">
        <f>AVERAGE(G84:G85)</f>
        <v>4.0044041852173411E-3</v>
      </c>
      <c r="H86" s="21" t="s">
        <v>34</v>
      </c>
      <c r="I86" s="26" t="s">
        <v>34</v>
      </c>
      <c r="J86" s="21" t="s">
        <v>34</v>
      </c>
      <c r="K86" s="26" t="s">
        <v>34</v>
      </c>
      <c r="L86" s="26" t="s">
        <v>34</v>
      </c>
      <c r="M86" s="26" t="s">
        <v>34</v>
      </c>
      <c r="N86" s="137" t="s">
        <v>34</v>
      </c>
      <c r="O86" s="137" t="s">
        <v>34</v>
      </c>
      <c r="P86" s="21">
        <f t="shared" ref="P86:U86" si="73">SUM(P84:P85)</f>
        <v>117</v>
      </c>
      <c r="Q86" s="21">
        <f t="shared" si="73"/>
        <v>2598</v>
      </c>
      <c r="R86" s="21">
        <f t="shared" si="73"/>
        <v>6</v>
      </c>
      <c r="S86" s="21">
        <f t="shared" si="73"/>
        <v>1634</v>
      </c>
      <c r="T86" s="21">
        <f t="shared" si="73"/>
        <v>7</v>
      </c>
      <c r="U86" s="21">
        <f t="shared" si="73"/>
        <v>6540</v>
      </c>
      <c r="V86" s="23">
        <f t="shared" ref="V86" si="74">SUM(V84:V85)</f>
        <v>556.94999999999993</v>
      </c>
      <c r="W86" s="32"/>
      <c r="X86" s="6"/>
      <c r="Y86" s="2"/>
      <c r="Z86" s="2"/>
      <c r="AA86" s="2"/>
      <c r="AB86" s="2"/>
      <c r="AC86" s="2"/>
      <c r="AD86" s="2"/>
      <c r="AE86" s="2"/>
      <c r="AF86" s="2"/>
      <c r="AG86" s="2"/>
    </row>
    <row r="87" spans="2:33" ht="15.75" customHeight="1" x14ac:dyDescent="0.2">
      <c r="B87" s="348" t="str">
        <f>C30</f>
        <v>30 Jun</v>
      </c>
      <c r="C87" s="174" t="s">
        <v>124</v>
      </c>
      <c r="D87" s="20">
        <v>2085</v>
      </c>
      <c r="E87" s="20">
        <v>390207</v>
      </c>
      <c r="F87" s="20">
        <v>534032</v>
      </c>
      <c r="G87" s="27">
        <f>D87/F87</f>
        <v>3.9042604188513049E-3</v>
      </c>
      <c r="H87" s="20" t="s">
        <v>34</v>
      </c>
      <c r="I87" s="25" t="s">
        <v>34</v>
      </c>
      <c r="J87" s="20" t="s">
        <v>34</v>
      </c>
      <c r="K87" s="29" t="s">
        <v>34</v>
      </c>
      <c r="L87" s="25" t="s">
        <v>34</v>
      </c>
      <c r="M87" s="25" t="s">
        <v>34</v>
      </c>
      <c r="N87" s="29" t="s">
        <v>34</v>
      </c>
      <c r="O87" s="29" t="s">
        <v>34</v>
      </c>
      <c r="P87" s="17">
        <v>60</v>
      </c>
      <c r="Q87" s="17">
        <v>1314</v>
      </c>
      <c r="R87" s="20">
        <v>2</v>
      </c>
      <c r="S87" s="20">
        <v>767</v>
      </c>
      <c r="T87" s="20">
        <v>2</v>
      </c>
      <c r="U87" s="20">
        <v>3422</v>
      </c>
      <c r="V87" s="22">
        <v>278.47499999999997</v>
      </c>
      <c r="W87" s="32"/>
      <c r="X87" s="6"/>
      <c r="Y87" s="2"/>
      <c r="Z87" s="2"/>
      <c r="AA87" s="2"/>
      <c r="AB87" s="2"/>
      <c r="AC87" s="2"/>
      <c r="AD87" s="2"/>
      <c r="AE87" s="2"/>
      <c r="AF87" s="2"/>
      <c r="AG87" s="2"/>
    </row>
    <row r="88" spans="2:33" ht="15.75" customHeight="1" x14ac:dyDescent="0.2">
      <c r="B88" s="348"/>
      <c r="C88" s="174" t="s">
        <v>125</v>
      </c>
      <c r="D88" s="20">
        <v>2663</v>
      </c>
      <c r="E88" s="20">
        <v>586880</v>
      </c>
      <c r="F88" s="20">
        <v>798776</v>
      </c>
      <c r="G88" s="27">
        <f>D88/F88</f>
        <v>3.3338507917113182E-3</v>
      </c>
      <c r="H88" s="20" t="s">
        <v>34</v>
      </c>
      <c r="I88" s="25" t="s">
        <v>34</v>
      </c>
      <c r="J88" s="20" t="s">
        <v>34</v>
      </c>
      <c r="K88" s="27" t="s">
        <v>34</v>
      </c>
      <c r="L88" s="25" t="s">
        <v>34</v>
      </c>
      <c r="M88" s="29" t="s">
        <v>34</v>
      </c>
      <c r="N88" s="29" t="s">
        <v>34</v>
      </c>
      <c r="O88" s="27" t="s">
        <v>34</v>
      </c>
      <c r="P88" s="17">
        <v>79</v>
      </c>
      <c r="Q88" s="17">
        <v>1788</v>
      </c>
      <c r="R88" s="20">
        <v>3</v>
      </c>
      <c r="S88" s="20">
        <v>872</v>
      </c>
      <c r="T88" s="20">
        <v>0</v>
      </c>
      <c r="U88" s="20">
        <v>4581</v>
      </c>
      <c r="V88" s="22">
        <v>278.45737500000001</v>
      </c>
      <c r="W88" s="32"/>
      <c r="X88" s="6"/>
      <c r="Y88" s="2"/>
      <c r="Z88" s="2"/>
      <c r="AA88" s="2"/>
      <c r="AB88" s="2"/>
      <c r="AC88" s="2"/>
      <c r="AD88" s="2"/>
      <c r="AE88" s="2"/>
      <c r="AF88" s="2"/>
      <c r="AG88" s="2"/>
    </row>
    <row r="89" spans="2:33" ht="15.75" customHeight="1" x14ac:dyDescent="0.2">
      <c r="B89" s="346" t="s">
        <v>126</v>
      </c>
      <c r="C89" s="347"/>
      <c r="D89" s="21">
        <f>SUM(D87:D88)</f>
        <v>4748</v>
      </c>
      <c r="E89" s="21">
        <f t="shared" ref="E89:F89" si="75">SUM(E87:E88)</f>
        <v>977087</v>
      </c>
      <c r="F89" s="21">
        <f t="shared" si="75"/>
        <v>1332808</v>
      </c>
      <c r="G89" s="28">
        <f>AVERAGE(G87:G88)</f>
        <v>3.6190556052813115E-3</v>
      </c>
      <c r="H89" s="21" t="s">
        <v>34</v>
      </c>
      <c r="I89" s="26" t="s">
        <v>34</v>
      </c>
      <c r="J89" s="21" t="s">
        <v>34</v>
      </c>
      <c r="K89" s="26" t="s">
        <v>34</v>
      </c>
      <c r="L89" s="26" t="s">
        <v>34</v>
      </c>
      <c r="M89" s="26" t="s">
        <v>34</v>
      </c>
      <c r="N89" s="137" t="s">
        <v>34</v>
      </c>
      <c r="O89" s="137" t="s">
        <v>34</v>
      </c>
      <c r="P89" s="21">
        <f t="shared" ref="P89:U89" si="76">SUM(P87:P88)</f>
        <v>139</v>
      </c>
      <c r="Q89" s="21">
        <f t="shared" si="76"/>
        <v>3102</v>
      </c>
      <c r="R89" s="21">
        <f t="shared" si="76"/>
        <v>5</v>
      </c>
      <c r="S89" s="21">
        <f t="shared" si="76"/>
        <v>1639</v>
      </c>
      <c r="T89" s="21">
        <f t="shared" si="76"/>
        <v>2</v>
      </c>
      <c r="U89" s="21">
        <f t="shared" si="76"/>
        <v>8003</v>
      </c>
      <c r="V89" s="23">
        <f t="shared" ref="V89" si="77">SUM(V87:V88)</f>
        <v>556.93237499999998</v>
      </c>
      <c r="W89" s="32"/>
      <c r="X89" s="6"/>
      <c r="Y89" s="2"/>
      <c r="Z89" s="2"/>
      <c r="AA89" s="2"/>
      <c r="AB89" s="2"/>
      <c r="AC89" s="2"/>
      <c r="AD89" s="2"/>
      <c r="AE89" s="2"/>
      <c r="AF89" s="2"/>
      <c r="AG89" s="2"/>
    </row>
    <row r="90" spans="2:33" ht="15.75" customHeight="1" x14ac:dyDescent="0.2">
      <c r="B90" s="348" t="str">
        <f>C31</f>
        <v>4 Jul</v>
      </c>
      <c r="C90" s="174" t="s">
        <v>124</v>
      </c>
      <c r="D90" s="20">
        <v>1955</v>
      </c>
      <c r="E90" s="20">
        <v>398593</v>
      </c>
      <c r="F90" s="20">
        <v>528012</v>
      </c>
      <c r="G90" s="27">
        <f>D90/F90</f>
        <v>3.7025673658931993E-3</v>
      </c>
      <c r="H90" s="17" t="s">
        <v>34</v>
      </c>
      <c r="I90" s="25" t="s">
        <v>34</v>
      </c>
      <c r="J90" s="17" t="s">
        <v>34</v>
      </c>
      <c r="K90" s="25" t="s">
        <v>34</v>
      </c>
      <c r="L90" s="25" t="s">
        <v>34</v>
      </c>
      <c r="M90" s="25" t="s">
        <v>34</v>
      </c>
      <c r="N90" s="25" t="s">
        <v>34</v>
      </c>
      <c r="O90" s="25" t="s">
        <v>34</v>
      </c>
      <c r="P90" s="17">
        <v>59</v>
      </c>
      <c r="Q90" s="17">
        <v>1100</v>
      </c>
      <c r="R90" s="20">
        <v>2</v>
      </c>
      <c r="S90" s="20">
        <v>851</v>
      </c>
      <c r="T90" s="20">
        <v>2</v>
      </c>
      <c r="U90" s="20">
        <v>3182</v>
      </c>
      <c r="V90" s="22">
        <v>379.27237500000001</v>
      </c>
      <c r="W90" s="32"/>
      <c r="X90" s="6"/>
      <c r="Y90" s="2"/>
      <c r="Z90" s="2"/>
      <c r="AA90" s="2"/>
      <c r="AB90" s="2"/>
      <c r="AC90" s="2"/>
      <c r="AD90" s="2"/>
      <c r="AE90" s="2"/>
      <c r="AF90" s="2"/>
      <c r="AG90" s="2"/>
    </row>
    <row r="91" spans="2:33" ht="15.75" customHeight="1" x14ac:dyDescent="0.2">
      <c r="B91" s="348"/>
      <c r="C91" s="174" t="s">
        <v>125</v>
      </c>
      <c r="D91" s="20">
        <v>2637</v>
      </c>
      <c r="E91" s="20">
        <v>607617</v>
      </c>
      <c r="F91" s="20">
        <v>807882</v>
      </c>
      <c r="G91" s="27">
        <f>D91/F91</f>
        <v>3.2640905478770414E-3</v>
      </c>
      <c r="H91" s="17" t="s">
        <v>34</v>
      </c>
      <c r="I91" s="25" t="s">
        <v>34</v>
      </c>
      <c r="J91" s="17" t="s">
        <v>34</v>
      </c>
      <c r="K91" s="25" t="s">
        <v>34</v>
      </c>
      <c r="L91" s="25" t="s">
        <v>34</v>
      </c>
      <c r="M91" s="25" t="s">
        <v>34</v>
      </c>
      <c r="N91" s="25" t="s">
        <v>34</v>
      </c>
      <c r="O91" s="25" t="s">
        <v>34</v>
      </c>
      <c r="P91" s="17">
        <v>82</v>
      </c>
      <c r="Q91" s="17">
        <v>1666</v>
      </c>
      <c r="R91" s="20">
        <v>5</v>
      </c>
      <c r="S91" s="20">
        <v>960</v>
      </c>
      <c r="T91" s="20">
        <v>6</v>
      </c>
      <c r="U91" s="20">
        <v>4461</v>
      </c>
      <c r="V91" s="22">
        <v>379.27237500000001</v>
      </c>
      <c r="W91" s="32"/>
      <c r="X91" s="6"/>
      <c r="Y91" s="2"/>
      <c r="Z91" s="2"/>
      <c r="AA91" s="2"/>
      <c r="AB91" s="2"/>
      <c r="AC91" s="2"/>
      <c r="AD91" s="2"/>
      <c r="AE91" s="2"/>
      <c r="AF91" s="2"/>
      <c r="AG91" s="2"/>
    </row>
    <row r="92" spans="2:33" ht="15.75" customHeight="1" x14ac:dyDescent="0.2">
      <c r="B92" s="346" t="s">
        <v>126</v>
      </c>
      <c r="C92" s="347"/>
      <c r="D92" s="21">
        <f>SUM(D90:D91)</f>
        <v>4592</v>
      </c>
      <c r="E92" s="21">
        <f t="shared" ref="E92:F92" si="78">SUM(E90:E91)</f>
        <v>1006210</v>
      </c>
      <c r="F92" s="21">
        <f t="shared" si="78"/>
        <v>1335894</v>
      </c>
      <c r="G92" s="28">
        <f>AVERAGE(G90:G91)</f>
        <v>3.4833289568851206E-3</v>
      </c>
      <c r="H92" s="19" t="s">
        <v>34</v>
      </c>
      <c r="I92" s="19" t="s">
        <v>34</v>
      </c>
      <c r="J92" s="19" t="s">
        <v>34</v>
      </c>
      <c r="K92" s="19" t="s">
        <v>34</v>
      </c>
      <c r="L92" s="19" t="s">
        <v>34</v>
      </c>
      <c r="M92" s="19" t="s">
        <v>34</v>
      </c>
      <c r="N92" s="19" t="s">
        <v>34</v>
      </c>
      <c r="O92" s="19" t="s">
        <v>34</v>
      </c>
      <c r="P92" s="21">
        <f t="shared" ref="P92:V92" si="79">SUM(P90:P91)</f>
        <v>141</v>
      </c>
      <c r="Q92" s="21">
        <f t="shared" si="79"/>
        <v>2766</v>
      </c>
      <c r="R92" s="21">
        <f t="shared" si="79"/>
        <v>7</v>
      </c>
      <c r="S92" s="21">
        <f t="shared" si="79"/>
        <v>1811</v>
      </c>
      <c r="T92" s="21">
        <f t="shared" si="79"/>
        <v>8</v>
      </c>
      <c r="U92" s="21">
        <f t="shared" si="79"/>
        <v>7643</v>
      </c>
      <c r="V92" s="23">
        <f t="shared" si="79"/>
        <v>758.54475000000002</v>
      </c>
      <c r="W92" s="32"/>
      <c r="X92" s="6"/>
      <c r="Y92" s="2"/>
      <c r="Z92" s="2"/>
      <c r="AA92" s="2"/>
      <c r="AB92" s="2"/>
      <c r="AC92" s="2"/>
      <c r="AD92" s="2"/>
      <c r="AE92" s="2"/>
      <c r="AF92" s="2"/>
      <c r="AG92" s="2"/>
    </row>
    <row r="93" spans="2:33" ht="15.75" customHeight="1" x14ac:dyDescent="0.2">
      <c r="B93" s="348" t="str">
        <f>C32</f>
        <v>13 Jul</v>
      </c>
      <c r="C93" s="174" t="s">
        <v>124</v>
      </c>
      <c r="D93" s="20">
        <v>4883</v>
      </c>
      <c r="E93" s="20">
        <v>464384</v>
      </c>
      <c r="F93" s="20">
        <v>631675</v>
      </c>
      <c r="G93" s="29">
        <f>D93/F93</f>
        <v>7.7302410258439863E-3</v>
      </c>
      <c r="H93" s="20" t="s">
        <v>34</v>
      </c>
      <c r="I93" s="25" t="s">
        <v>34</v>
      </c>
      <c r="J93" s="20" t="s">
        <v>34</v>
      </c>
      <c r="K93" s="29" t="s">
        <v>34</v>
      </c>
      <c r="L93" s="25" t="s">
        <v>34</v>
      </c>
      <c r="M93" s="25" t="s">
        <v>34</v>
      </c>
      <c r="N93" s="29" t="s">
        <v>34</v>
      </c>
      <c r="O93" s="29" t="s">
        <v>34</v>
      </c>
      <c r="P93" s="17">
        <v>114</v>
      </c>
      <c r="Q93" s="17">
        <v>2870</v>
      </c>
      <c r="R93" s="20">
        <v>11</v>
      </c>
      <c r="S93" s="20">
        <v>1983</v>
      </c>
      <c r="T93" s="20">
        <v>19</v>
      </c>
      <c r="U93" s="20">
        <v>7365</v>
      </c>
      <c r="V93" s="22">
        <v>379.27237500000001</v>
      </c>
      <c r="W93" s="32"/>
      <c r="X93" s="6"/>
      <c r="Y93" s="2"/>
      <c r="Z93" s="2"/>
      <c r="AA93" s="2"/>
      <c r="AB93" s="2"/>
      <c r="AC93" s="2"/>
      <c r="AD93" s="2"/>
      <c r="AE93" s="2"/>
      <c r="AF93" s="2"/>
      <c r="AG93" s="2"/>
    </row>
    <row r="94" spans="2:33" ht="15.75" customHeight="1" x14ac:dyDescent="0.2">
      <c r="B94" s="348"/>
      <c r="C94" s="174" t="s">
        <v>125</v>
      </c>
      <c r="D94" s="20">
        <v>6019</v>
      </c>
      <c r="E94" s="20">
        <v>674176</v>
      </c>
      <c r="F94" s="20">
        <v>904409</v>
      </c>
      <c r="G94" s="29">
        <f>D94/F94</f>
        <v>6.6551748158189495E-3</v>
      </c>
      <c r="H94" s="20" t="s">
        <v>34</v>
      </c>
      <c r="I94" s="25" t="s">
        <v>34</v>
      </c>
      <c r="J94" s="20" t="s">
        <v>34</v>
      </c>
      <c r="K94" s="27" t="s">
        <v>34</v>
      </c>
      <c r="L94" s="25" t="s">
        <v>34</v>
      </c>
      <c r="M94" s="29" t="s">
        <v>34</v>
      </c>
      <c r="N94" s="29" t="s">
        <v>34</v>
      </c>
      <c r="O94" s="27" t="s">
        <v>34</v>
      </c>
      <c r="P94" s="17">
        <v>143</v>
      </c>
      <c r="Q94" s="17">
        <v>3807</v>
      </c>
      <c r="R94" s="20">
        <v>7</v>
      </c>
      <c r="S94" s="20">
        <v>2185</v>
      </c>
      <c r="T94" s="20">
        <v>20</v>
      </c>
      <c r="U94" s="20">
        <v>9044</v>
      </c>
      <c r="V94" s="22">
        <v>379.27237500000001</v>
      </c>
      <c r="W94" s="32"/>
      <c r="X94" s="6"/>
      <c r="Y94" s="2"/>
      <c r="Z94" s="2"/>
      <c r="AA94" s="2"/>
      <c r="AB94" s="2"/>
      <c r="AC94" s="2"/>
      <c r="AD94" s="2"/>
      <c r="AE94" s="2"/>
      <c r="AF94" s="2"/>
      <c r="AG94" s="2"/>
    </row>
    <row r="95" spans="2:33" ht="15.75" customHeight="1" x14ac:dyDescent="0.2">
      <c r="B95" s="346" t="s">
        <v>126</v>
      </c>
      <c r="C95" s="347"/>
      <c r="D95" s="21">
        <f>SUM(D93:D94)</f>
        <v>10902</v>
      </c>
      <c r="E95" s="21">
        <f t="shared" ref="E95:F95" si="80">SUM(E93:E94)</f>
        <v>1138560</v>
      </c>
      <c r="F95" s="21">
        <f t="shared" si="80"/>
        <v>1536084</v>
      </c>
      <c r="G95" s="137">
        <f>AVERAGE(G93:G94)</f>
        <v>7.1927079208314679E-3</v>
      </c>
      <c r="H95" s="21" t="s">
        <v>34</v>
      </c>
      <c r="I95" s="26" t="s">
        <v>34</v>
      </c>
      <c r="J95" s="21" t="s">
        <v>34</v>
      </c>
      <c r="K95" s="26" t="s">
        <v>34</v>
      </c>
      <c r="L95" s="26" t="s">
        <v>34</v>
      </c>
      <c r="M95" s="26" t="s">
        <v>34</v>
      </c>
      <c r="N95" s="137" t="s">
        <v>34</v>
      </c>
      <c r="O95" s="137" t="s">
        <v>34</v>
      </c>
      <c r="P95" s="21">
        <f t="shared" ref="P95:V95" si="81">SUM(P93:P94)</f>
        <v>257</v>
      </c>
      <c r="Q95" s="21">
        <f t="shared" si="81"/>
        <v>6677</v>
      </c>
      <c r="R95" s="21">
        <f t="shared" si="81"/>
        <v>18</v>
      </c>
      <c r="S95" s="21">
        <f t="shared" si="81"/>
        <v>4168</v>
      </c>
      <c r="T95" s="21">
        <f t="shared" si="81"/>
        <v>39</v>
      </c>
      <c r="U95" s="21">
        <f t="shared" si="81"/>
        <v>16409</v>
      </c>
      <c r="V95" s="23">
        <f t="shared" si="81"/>
        <v>758.54475000000002</v>
      </c>
      <c r="W95" s="32"/>
      <c r="X95" s="6"/>
      <c r="Y95" s="2"/>
      <c r="Z95" s="2"/>
      <c r="AA95" s="2"/>
      <c r="AB95" s="2"/>
      <c r="AC95" s="2"/>
      <c r="AD95" s="2"/>
      <c r="AE95" s="2"/>
      <c r="AF95" s="2"/>
      <c r="AG95" s="2"/>
    </row>
    <row r="96" spans="2:33" ht="15.75" customHeight="1" x14ac:dyDescent="0.2">
      <c r="B96" s="348" t="str">
        <f>C33</f>
        <v>16 Jul</v>
      </c>
      <c r="C96" s="174" t="s">
        <v>124</v>
      </c>
      <c r="D96" s="20">
        <v>10638</v>
      </c>
      <c r="E96" s="20">
        <v>439680</v>
      </c>
      <c r="F96" s="20">
        <v>604516</v>
      </c>
      <c r="G96" s="29">
        <f>D96/F96</f>
        <v>1.7597549113671101E-2</v>
      </c>
      <c r="H96" s="3">
        <v>9977</v>
      </c>
      <c r="I96" s="25">
        <f>IFERROR(H96/F96,0)</f>
        <v>1.6504112380813743E-2</v>
      </c>
      <c r="J96" s="3">
        <v>4366</v>
      </c>
      <c r="K96" s="29">
        <f>IFERROR(J96/F96,0)</f>
        <v>7.2223067710366637E-3</v>
      </c>
      <c r="L96" s="25">
        <v>1.4991181657848324E-2</v>
      </c>
      <c r="M96" s="25">
        <v>9.2187425520758853E-3</v>
      </c>
      <c r="N96" s="29">
        <v>7.1690738357405026E-3</v>
      </c>
      <c r="O96" s="29">
        <v>6.2491062491062494E-3</v>
      </c>
      <c r="P96" s="17">
        <v>36</v>
      </c>
      <c r="Q96" s="17" t="s">
        <v>34</v>
      </c>
      <c r="R96" s="20">
        <v>1</v>
      </c>
      <c r="S96" s="20">
        <v>659</v>
      </c>
      <c r="T96" s="20">
        <v>1</v>
      </c>
      <c r="U96" s="20">
        <v>4934</v>
      </c>
      <c r="V96" s="22">
        <v>379.27237500000001</v>
      </c>
      <c r="W96" s="32"/>
      <c r="X96" s="6"/>
      <c r="Y96" s="2"/>
      <c r="Z96" s="2"/>
      <c r="AA96" s="2"/>
      <c r="AB96" s="2"/>
      <c r="AC96" s="2"/>
      <c r="AD96" s="2"/>
      <c r="AE96" s="2"/>
      <c r="AF96" s="2"/>
      <c r="AG96" s="2"/>
    </row>
    <row r="97" spans="2:33" ht="15.75" customHeight="1" x14ac:dyDescent="0.2">
      <c r="B97" s="348"/>
      <c r="C97" s="174" t="s">
        <v>125</v>
      </c>
      <c r="D97" s="20">
        <v>11452</v>
      </c>
      <c r="E97" s="20">
        <v>637184</v>
      </c>
      <c r="F97" s="20">
        <v>883466</v>
      </c>
      <c r="G97" s="29">
        <f>D97/F97</f>
        <v>1.2962581468896369E-2</v>
      </c>
      <c r="H97" s="3">
        <v>10746</v>
      </c>
      <c r="I97" s="25">
        <f>IFERROR(H97/F97,0)</f>
        <v>1.216345620544537E-2</v>
      </c>
      <c r="J97" s="3">
        <v>5017</v>
      </c>
      <c r="K97" s="29">
        <f>IFERROR(J97/F97,0)</f>
        <v>5.6787697545802552E-3</v>
      </c>
      <c r="L97" s="25">
        <v>1.1100861008610087E-2</v>
      </c>
      <c r="M97" s="25">
        <v>7.0756457564575643E-3</v>
      </c>
      <c r="N97" s="29">
        <v>5.6672816728167283E-3</v>
      </c>
      <c r="O97" s="29">
        <v>5.0061500615006154E-3</v>
      </c>
      <c r="P97" s="17">
        <v>54</v>
      </c>
      <c r="Q97" s="17" t="s">
        <v>34</v>
      </c>
      <c r="R97" s="20">
        <v>0</v>
      </c>
      <c r="S97" s="20">
        <v>703</v>
      </c>
      <c r="T97" s="20">
        <v>3</v>
      </c>
      <c r="U97" s="20">
        <v>6953</v>
      </c>
      <c r="V97" s="22">
        <v>379.27237500000001</v>
      </c>
      <c r="W97" s="32"/>
      <c r="X97" s="6"/>
      <c r="Y97" s="2"/>
      <c r="Z97" s="2"/>
      <c r="AA97" s="2"/>
      <c r="AB97" s="2"/>
      <c r="AC97" s="2"/>
      <c r="AD97" s="2"/>
      <c r="AE97" s="2"/>
      <c r="AF97" s="2"/>
      <c r="AG97" s="2"/>
    </row>
    <row r="98" spans="2:33" ht="15.75" customHeight="1" x14ac:dyDescent="0.2">
      <c r="B98" s="346" t="s">
        <v>126</v>
      </c>
      <c r="C98" s="347"/>
      <c r="D98" s="21">
        <f>SUM(D96:D97)</f>
        <v>22090</v>
      </c>
      <c r="E98" s="21">
        <f t="shared" ref="E98:F98" si="82">SUM(E96:E97)</f>
        <v>1076864</v>
      </c>
      <c r="F98" s="21">
        <f t="shared" si="82"/>
        <v>1487982</v>
      </c>
      <c r="G98" s="137">
        <f>AVERAGE(G96:G97)</f>
        <v>1.5280065291283736E-2</v>
      </c>
      <c r="H98" s="21">
        <f>SUM(H96:H97)</f>
        <v>20723</v>
      </c>
      <c r="I98" s="26">
        <f>IFERROR(AVERAGE(I96:I97),0)</f>
        <v>1.4333784293129558E-2</v>
      </c>
      <c r="J98" s="21">
        <f>SUM(J96:J97)</f>
        <v>9383</v>
      </c>
      <c r="K98" s="26">
        <f>IFERROR(AVERAGE(K96:K97),0)</f>
        <v>6.4505382628084595E-3</v>
      </c>
      <c r="L98" s="26">
        <f t="shared" ref="L98:O98" si="83">IFERROR(AVERAGE(L96:L97),0)</f>
        <v>1.3046021333229206E-2</v>
      </c>
      <c r="M98" s="26">
        <f t="shared" si="83"/>
        <v>8.1471941542667244E-3</v>
      </c>
      <c r="N98" s="26">
        <f t="shared" si="83"/>
        <v>6.4181777542786159E-3</v>
      </c>
      <c r="O98" s="26">
        <f t="shared" si="83"/>
        <v>5.6276281553034324E-3</v>
      </c>
      <c r="P98" s="21">
        <f t="shared" ref="P98:V98" si="84">SUM(P96:P97)</f>
        <v>90</v>
      </c>
      <c r="Q98" s="21" t="s">
        <v>34</v>
      </c>
      <c r="R98" s="21">
        <f t="shared" si="84"/>
        <v>1</v>
      </c>
      <c r="S98" s="21">
        <f t="shared" si="84"/>
        <v>1362</v>
      </c>
      <c r="T98" s="21">
        <f t="shared" si="84"/>
        <v>4</v>
      </c>
      <c r="U98" s="21">
        <f t="shared" si="84"/>
        <v>11887</v>
      </c>
      <c r="V98" s="23">
        <f t="shared" si="84"/>
        <v>758.54475000000002</v>
      </c>
      <c r="W98" s="32"/>
      <c r="X98" s="6"/>
      <c r="Y98" s="2"/>
      <c r="Z98" s="2"/>
      <c r="AA98" s="2"/>
      <c r="AB98" s="2"/>
      <c r="AC98" s="2"/>
      <c r="AD98" s="2"/>
      <c r="AE98" s="2"/>
      <c r="AF98" s="2"/>
      <c r="AG98" s="2"/>
    </row>
    <row r="99" spans="2:33" ht="15.75" customHeight="1" x14ac:dyDescent="0.2">
      <c r="B99" s="348" t="str">
        <f>C34</f>
        <v>26 Jul</v>
      </c>
      <c r="C99" s="174" t="s">
        <v>124</v>
      </c>
      <c r="D99" s="20">
        <v>9674</v>
      </c>
      <c r="E99" s="20">
        <v>425984</v>
      </c>
      <c r="F99" s="20">
        <v>572567</v>
      </c>
      <c r="G99" s="29">
        <f>D99/F99</f>
        <v>1.6895839264225845E-2</v>
      </c>
      <c r="H99" s="20">
        <v>8811</v>
      </c>
      <c r="I99" s="25">
        <f>IFERROR(H99/F99,0)</f>
        <v>1.5388592077433733E-2</v>
      </c>
      <c r="J99" s="20">
        <v>2702</v>
      </c>
      <c r="K99" s="27">
        <f>IFERROR(J99/F99,0)</f>
        <v>4.7190983762598962E-3</v>
      </c>
      <c r="L99" s="25">
        <v>1.4892580256983026E-2</v>
      </c>
      <c r="M99" s="25">
        <v>1.0044239364126819E-2</v>
      </c>
      <c r="N99" s="29">
        <v>6.6402709202591139E-3</v>
      </c>
      <c r="O99" s="27">
        <v>4.62478626955448E-3</v>
      </c>
      <c r="P99" s="17">
        <v>26</v>
      </c>
      <c r="Q99" s="17" t="s">
        <v>34</v>
      </c>
      <c r="R99" s="20">
        <v>0</v>
      </c>
      <c r="S99" s="20">
        <v>853</v>
      </c>
      <c r="T99" s="20">
        <v>10</v>
      </c>
      <c r="U99" s="20">
        <v>5968</v>
      </c>
      <c r="V99" s="22">
        <v>379.27237500000001</v>
      </c>
      <c r="W99" s="32"/>
      <c r="X99" s="6"/>
      <c r="Y99" s="2"/>
      <c r="Z99" s="2"/>
      <c r="AA99" s="2"/>
      <c r="AB99" s="2"/>
      <c r="AC99" s="2"/>
      <c r="AD99" s="2"/>
      <c r="AE99" s="2"/>
      <c r="AF99" s="2"/>
      <c r="AG99" s="2"/>
    </row>
    <row r="100" spans="2:33" ht="15.75" customHeight="1" x14ac:dyDescent="0.2">
      <c r="B100" s="348"/>
      <c r="C100" s="174" t="s">
        <v>125</v>
      </c>
      <c r="D100" s="20">
        <v>10500</v>
      </c>
      <c r="E100" s="20">
        <v>583680</v>
      </c>
      <c r="F100" s="20">
        <v>788078</v>
      </c>
      <c r="G100" s="29">
        <f>D100/F100</f>
        <v>1.3323554267470986E-2</v>
      </c>
      <c r="H100" s="20">
        <v>9656</v>
      </c>
      <c r="I100" s="25">
        <f>IFERROR(H100/F100,0)</f>
        <v>1.2252594286352366E-2</v>
      </c>
      <c r="J100" s="20">
        <v>3027</v>
      </c>
      <c r="K100" s="27">
        <f>IFERROR(J100/F100,0)</f>
        <v>3.8409903588223502E-3</v>
      </c>
      <c r="L100" s="25">
        <v>1.1826240549793294E-2</v>
      </c>
      <c r="M100" s="29">
        <v>7.9053088653661188E-3</v>
      </c>
      <c r="N100" s="29">
        <v>5.4486992404305153E-3</v>
      </c>
      <c r="O100" s="27">
        <v>3.7331330147523469E-3</v>
      </c>
      <c r="P100" s="17">
        <v>41</v>
      </c>
      <c r="Q100" s="17" t="s">
        <v>34</v>
      </c>
      <c r="R100" s="20">
        <v>4</v>
      </c>
      <c r="S100" s="20">
        <v>833</v>
      </c>
      <c r="T100" s="20">
        <v>7</v>
      </c>
      <c r="U100" s="20">
        <v>7481</v>
      </c>
      <c r="V100" s="22">
        <v>379.27237500000001</v>
      </c>
      <c r="W100" s="32"/>
      <c r="X100" s="6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2:33" ht="15.75" customHeight="1" x14ac:dyDescent="0.2">
      <c r="B101" s="346" t="s">
        <v>126</v>
      </c>
      <c r="C101" s="347"/>
      <c r="D101" s="21">
        <f>SUM(D99:D100)</f>
        <v>20174</v>
      </c>
      <c r="E101" s="21">
        <f t="shared" ref="E101:F101" si="85">SUM(E99:E100)</f>
        <v>1009664</v>
      </c>
      <c r="F101" s="21">
        <f t="shared" si="85"/>
        <v>1360645</v>
      </c>
      <c r="G101" s="137">
        <f>AVERAGE(G99:G100)</f>
        <v>1.5109696765848415E-2</v>
      </c>
      <c r="H101" s="21">
        <f>SUM(H99:H100)</f>
        <v>18467</v>
      </c>
      <c r="I101" s="26">
        <f>IFERROR(AVERAGE(I99:I100),0)</f>
        <v>1.3820593181893048E-2</v>
      </c>
      <c r="J101" s="21">
        <f>SUM(J99:J100)</f>
        <v>5729</v>
      </c>
      <c r="K101" s="28">
        <f>IFERROR(AVERAGE(K99:K100),0)</f>
        <v>4.2800443675411227E-3</v>
      </c>
      <c r="L101" s="26">
        <f t="shared" ref="L101:O101" si="86">IFERROR(AVERAGE(L99:L100),0)</f>
        <v>1.335941040338816E-2</v>
      </c>
      <c r="M101" s="26">
        <f t="shared" si="86"/>
        <v>8.9747741147464689E-3</v>
      </c>
      <c r="N101" s="26">
        <f t="shared" si="86"/>
        <v>6.0444850803448146E-3</v>
      </c>
      <c r="O101" s="28">
        <f t="shared" si="86"/>
        <v>4.1789596421534132E-3</v>
      </c>
      <c r="P101" s="21">
        <f t="shared" ref="P101:V101" si="87">SUM(P99:P100)</f>
        <v>67</v>
      </c>
      <c r="Q101" s="21" t="s">
        <v>34</v>
      </c>
      <c r="R101" s="21">
        <f t="shared" si="87"/>
        <v>4</v>
      </c>
      <c r="S101" s="21">
        <f t="shared" si="87"/>
        <v>1686</v>
      </c>
      <c r="T101" s="21">
        <f t="shared" si="87"/>
        <v>17</v>
      </c>
      <c r="U101" s="21">
        <f t="shared" si="87"/>
        <v>13449</v>
      </c>
      <c r="V101" s="23">
        <f t="shared" si="87"/>
        <v>758.54475000000002</v>
      </c>
      <c r="W101" s="32"/>
      <c r="X101" s="6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2:33" ht="15.75" customHeight="1" x14ac:dyDescent="0.2">
      <c r="B102" s="348" t="str">
        <f>C35</f>
        <v>30 Jul</v>
      </c>
      <c r="C102" s="174" t="s">
        <v>124</v>
      </c>
      <c r="D102" s="20">
        <v>6929</v>
      </c>
      <c r="E102" s="20">
        <v>421504</v>
      </c>
      <c r="F102" s="20">
        <v>595590</v>
      </c>
      <c r="G102" s="29">
        <f>D102/F102</f>
        <v>1.1633842072566699E-2</v>
      </c>
      <c r="H102" s="3">
        <v>6273</v>
      </c>
      <c r="I102" s="25">
        <f>IFERROR(H102/F102,0)</f>
        <v>1.0532413237294112E-2</v>
      </c>
      <c r="J102" s="3">
        <v>2948</v>
      </c>
      <c r="K102" s="27">
        <f>IFERROR(J102/F102,0)</f>
        <v>4.9497137292432714E-3</v>
      </c>
      <c r="L102" s="25">
        <v>1.4007958494937793E-2</v>
      </c>
      <c r="M102" s="25">
        <v>7.928272805117615E-3</v>
      </c>
      <c r="N102" s="29">
        <v>6.0175624170990113E-3</v>
      </c>
      <c r="O102" s="27">
        <v>4.9295656407931628E-3</v>
      </c>
      <c r="P102" s="17">
        <v>33</v>
      </c>
      <c r="Q102" s="17" t="s">
        <v>34</v>
      </c>
      <c r="R102" s="20">
        <v>1</v>
      </c>
      <c r="S102" s="20">
        <v>654</v>
      </c>
      <c r="T102" s="20">
        <v>1</v>
      </c>
      <c r="U102" s="20">
        <v>4783</v>
      </c>
      <c r="V102" s="22">
        <v>379.27237500000001</v>
      </c>
      <c r="W102" s="32"/>
      <c r="X102" s="6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2:33" ht="15.75" customHeight="1" x14ac:dyDescent="0.2">
      <c r="B103" s="348"/>
      <c r="C103" s="174" t="s">
        <v>125</v>
      </c>
      <c r="D103" s="20">
        <v>7362</v>
      </c>
      <c r="E103" s="20">
        <v>582657</v>
      </c>
      <c r="F103" s="20">
        <v>819908</v>
      </c>
      <c r="G103" s="29">
        <f>D103/F103</f>
        <v>8.9790561867916889E-3</v>
      </c>
      <c r="H103" s="3">
        <v>6775</v>
      </c>
      <c r="I103" s="25">
        <f>IFERROR(H103/F103,0)</f>
        <v>8.2631222039545905E-3</v>
      </c>
      <c r="J103" s="3">
        <v>3221</v>
      </c>
      <c r="K103" s="27">
        <f>IFERROR(J103/F103,0)</f>
        <v>3.9284895378505881E-3</v>
      </c>
      <c r="L103" s="25">
        <v>1.0860974645935885E-2</v>
      </c>
      <c r="M103" s="25">
        <v>6.2775335769379003E-3</v>
      </c>
      <c r="N103" s="27">
        <v>4.8346887699595564E-3</v>
      </c>
      <c r="O103" s="27">
        <v>3.91385374944506E-3</v>
      </c>
      <c r="P103" s="17">
        <v>31</v>
      </c>
      <c r="Q103" s="17" t="s">
        <v>34</v>
      </c>
      <c r="R103" s="20">
        <v>2</v>
      </c>
      <c r="S103" s="20">
        <v>582</v>
      </c>
      <c r="T103" s="20">
        <v>3</v>
      </c>
      <c r="U103" s="20">
        <v>5899</v>
      </c>
      <c r="V103" s="22">
        <v>379.27237500000001</v>
      </c>
      <c r="W103" s="32"/>
      <c r="X103" s="6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2:33" ht="15.75" customHeight="1" x14ac:dyDescent="0.2">
      <c r="B104" s="346" t="s">
        <v>126</v>
      </c>
      <c r="C104" s="347"/>
      <c r="D104" s="21">
        <f>SUM(D102:D103)</f>
        <v>14291</v>
      </c>
      <c r="E104" s="21">
        <f t="shared" ref="E104:F104" si="88">SUM(E102:E103)</f>
        <v>1004161</v>
      </c>
      <c r="F104" s="21">
        <f t="shared" si="88"/>
        <v>1415498</v>
      </c>
      <c r="G104" s="137">
        <f>AVERAGE(G102:G103)</f>
        <v>1.0306449129679193E-2</v>
      </c>
      <c r="H104" s="21">
        <f>SUM(H102:H103)</f>
        <v>13048</v>
      </c>
      <c r="I104" s="26">
        <f>IFERROR(AVERAGE(I102:I103),0)</f>
        <v>9.3977677206243514E-3</v>
      </c>
      <c r="J104" s="21">
        <f>SUM(J102:J103)</f>
        <v>6169</v>
      </c>
      <c r="K104" s="28">
        <f>IFERROR(AVERAGE(K102:K103),0)</f>
        <v>4.4391016335469293E-3</v>
      </c>
      <c r="L104" s="26">
        <f t="shared" ref="L104:O104" si="89">IFERROR(AVERAGE(L102:L103),0)</f>
        <v>1.2434466570436838E-2</v>
      </c>
      <c r="M104" s="26">
        <f t="shared" si="89"/>
        <v>7.1029031910277577E-3</v>
      </c>
      <c r="N104" s="26">
        <f t="shared" si="89"/>
        <v>5.4261255935292834E-3</v>
      </c>
      <c r="O104" s="28">
        <f t="shared" si="89"/>
        <v>4.4217096951191109E-3</v>
      </c>
      <c r="P104" s="21">
        <f t="shared" ref="P104:V104" si="90">SUM(P102:P103)</f>
        <v>64</v>
      </c>
      <c r="Q104" s="21" t="s">
        <v>34</v>
      </c>
      <c r="R104" s="21">
        <f t="shared" si="90"/>
        <v>3</v>
      </c>
      <c r="S104" s="21">
        <f t="shared" si="90"/>
        <v>1236</v>
      </c>
      <c r="T104" s="21">
        <f t="shared" si="90"/>
        <v>4</v>
      </c>
      <c r="U104" s="21">
        <f t="shared" si="90"/>
        <v>10682</v>
      </c>
      <c r="V104" s="23">
        <f t="shared" si="90"/>
        <v>758.54475000000002</v>
      </c>
      <c r="W104" s="32"/>
      <c r="X104" s="6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2:33" ht="15.75" customHeight="1" x14ac:dyDescent="0.2">
      <c r="B105" s="348" t="str">
        <f>C36</f>
        <v>2 Aug</v>
      </c>
      <c r="C105" s="174" t="s">
        <v>124</v>
      </c>
      <c r="D105" s="20">
        <v>10017</v>
      </c>
      <c r="E105" s="20">
        <v>429888</v>
      </c>
      <c r="F105" s="20">
        <v>610586</v>
      </c>
      <c r="G105" s="29">
        <f>D105/F105</f>
        <v>1.6405551388338414E-2</v>
      </c>
      <c r="H105" s="3">
        <v>9093</v>
      </c>
      <c r="I105" s="25">
        <f>IFERROR(H105/F105,0)</f>
        <v>1.4892251050630051E-2</v>
      </c>
      <c r="J105" s="3">
        <v>4978</v>
      </c>
      <c r="K105" s="29">
        <f>IFERROR(J105/F105,0)</f>
        <v>8.1528236808574052E-3</v>
      </c>
      <c r="L105" s="25">
        <v>1.5449093166237025E-2</v>
      </c>
      <c r="M105" s="25">
        <v>1.0871523421762045E-2</v>
      </c>
      <c r="N105" s="29">
        <v>9.1141952157435639E-3</v>
      </c>
      <c r="O105" s="29">
        <v>8.3329784829655439E-3</v>
      </c>
      <c r="P105" s="17">
        <v>33</v>
      </c>
      <c r="Q105" s="17" t="s">
        <v>34</v>
      </c>
      <c r="R105" s="20">
        <v>4</v>
      </c>
      <c r="S105" s="20">
        <v>912</v>
      </c>
      <c r="T105" s="20">
        <v>8</v>
      </c>
      <c r="U105" s="20">
        <v>5987</v>
      </c>
      <c r="V105" s="22">
        <v>379.27237500000001</v>
      </c>
      <c r="W105" s="32"/>
      <c r="X105" s="6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2:33" ht="15.75" customHeight="1" x14ac:dyDescent="0.2">
      <c r="B106" s="348"/>
      <c r="C106" s="174" t="s">
        <v>125</v>
      </c>
      <c r="D106" s="20">
        <v>11100</v>
      </c>
      <c r="E106" s="20">
        <v>615040</v>
      </c>
      <c r="F106" s="20">
        <v>863159</v>
      </c>
      <c r="G106" s="29">
        <f>D106/F106</f>
        <v>1.2859739630821205E-2</v>
      </c>
      <c r="H106" s="3">
        <v>10204</v>
      </c>
      <c r="I106" s="25">
        <f>IFERROR(H106/F106,0)</f>
        <v>1.1821692179540502E-2</v>
      </c>
      <c r="J106" s="3">
        <v>5512</v>
      </c>
      <c r="K106" s="29">
        <f>IFERROR(J106/F106,0)</f>
        <v>6.3858454815393225E-3</v>
      </c>
      <c r="L106" s="25">
        <v>1.2299008641513325E-2</v>
      </c>
      <c r="M106" s="25">
        <v>8.5557817273526661E-3</v>
      </c>
      <c r="N106" s="29">
        <v>7.1678566753054767E-3</v>
      </c>
      <c r="O106" s="29">
        <v>6.5387721149869262E-3</v>
      </c>
      <c r="P106" s="17">
        <v>35</v>
      </c>
      <c r="Q106" s="17" t="s">
        <v>34</v>
      </c>
      <c r="R106" s="20">
        <v>9</v>
      </c>
      <c r="S106" s="20">
        <v>881</v>
      </c>
      <c r="T106" s="20">
        <v>6</v>
      </c>
      <c r="U106" s="20">
        <v>7657</v>
      </c>
      <c r="V106" s="22">
        <v>379.27237500000001</v>
      </c>
      <c r="W106" s="32"/>
      <c r="X106" s="6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2:33" ht="15.75" customHeight="1" x14ac:dyDescent="0.2">
      <c r="B107" s="346" t="s">
        <v>126</v>
      </c>
      <c r="C107" s="347"/>
      <c r="D107" s="21">
        <f>SUM(D105:D106)</f>
        <v>21117</v>
      </c>
      <c r="E107" s="21">
        <f t="shared" ref="E107:F107" si="91">SUM(E105:E106)</f>
        <v>1044928</v>
      </c>
      <c r="F107" s="21">
        <f t="shared" si="91"/>
        <v>1473745</v>
      </c>
      <c r="G107" s="137">
        <f>AVERAGE(G105:G106)</f>
        <v>1.4632645509579809E-2</v>
      </c>
      <c r="H107" s="21">
        <f>SUM(H105:H106)</f>
        <v>19297</v>
      </c>
      <c r="I107" s="26">
        <f>IFERROR(AVERAGE(I105:I106),0)</f>
        <v>1.3356971615085277E-2</v>
      </c>
      <c r="J107" s="21">
        <f>SUM(J105:J106)</f>
        <v>10490</v>
      </c>
      <c r="K107" s="26">
        <f>IFERROR(AVERAGE(K105:K106),0)</f>
        <v>7.2693345811983643E-3</v>
      </c>
      <c r="L107" s="26">
        <f t="shared" ref="L107:O107" si="92">IFERROR(AVERAGE(L105:L106),0)</f>
        <v>1.3874050903875175E-2</v>
      </c>
      <c r="M107" s="26">
        <f t="shared" si="92"/>
        <v>9.7136525745573563E-3</v>
      </c>
      <c r="N107" s="26">
        <f t="shared" si="92"/>
        <v>8.1410259455245194E-3</v>
      </c>
      <c r="O107" s="26">
        <f t="shared" si="92"/>
        <v>7.435875298976235E-3</v>
      </c>
      <c r="P107" s="21">
        <f t="shared" ref="P107" si="93">SUM(P105:P106)</f>
        <v>68</v>
      </c>
      <c r="Q107" s="21" t="s">
        <v>34</v>
      </c>
      <c r="R107" s="21">
        <f t="shared" ref="R107:V107" si="94">SUM(R105:R106)</f>
        <v>13</v>
      </c>
      <c r="S107" s="21">
        <f>SUM(S105:S106)</f>
        <v>1793</v>
      </c>
      <c r="T107" s="21">
        <f t="shared" si="94"/>
        <v>14</v>
      </c>
      <c r="U107" s="21">
        <f t="shared" si="94"/>
        <v>13644</v>
      </c>
      <c r="V107" s="23">
        <f t="shared" si="94"/>
        <v>758.54475000000002</v>
      </c>
      <c r="W107" s="32"/>
      <c r="X107" s="6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2:33" ht="15.75" customHeight="1" x14ac:dyDescent="0.2">
      <c r="B108" s="348" t="str">
        <f>C37</f>
        <v>17 Aug</v>
      </c>
      <c r="C108" s="174" t="s">
        <v>124</v>
      </c>
      <c r="D108" s="20">
        <v>2712</v>
      </c>
      <c r="E108" s="20">
        <v>246976</v>
      </c>
      <c r="F108" s="20">
        <v>323039</v>
      </c>
      <c r="G108" s="29">
        <f>D108/F108</f>
        <v>8.3952711592098789E-3</v>
      </c>
      <c r="H108" s="20" t="s">
        <v>34</v>
      </c>
      <c r="I108" s="25">
        <f>IFERROR(H108/F108,0)</f>
        <v>0</v>
      </c>
      <c r="J108" s="20" t="s">
        <v>34</v>
      </c>
      <c r="K108" s="27">
        <f>IFERROR(J108/F108,0)</f>
        <v>0</v>
      </c>
      <c r="L108" s="25" t="s">
        <v>34</v>
      </c>
      <c r="M108" s="25" t="s">
        <v>34</v>
      </c>
      <c r="N108" s="29" t="s">
        <v>34</v>
      </c>
      <c r="O108" s="27" t="s">
        <v>34</v>
      </c>
      <c r="P108" s="17">
        <v>52</v>
      </c>
      <c r="Q108" s="179">
        <v>1153</v>
      </c>
      <c r="R108" s="20">
        <v>20</v>
      </c>
      <c r="S108" s="20">
        <v>1478</v>
      </c>
      <c r="T108" s="20">
        <v>61</v>
      </c>
      <c r="U108" s="20">
        <v>3412</v>
      </c>
      <c r="V108" s="22">
        <v>379.27237500000001</v>
      </c>
      <c r="W108" s="32"/>
      <c r="X108" s="6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2:33" ht="15.75" customHeight="1" x14ac:dyDescent="0.2">
      <c r="B109" s="348"/>
      <c r="C109" s="174" t="s">
        <v>125</v>
      </c>
      <c r="D109" s="20">
        <v>3210</v>
      </c>
      <c r="E109" s="20">
        <v>338560</v>
      </c>
      <c r="F109" s="20">
        <v>443150</v>
      </c>
      <c r="G109" s="29">
        <f>D109/F109</f>
        <v>7.2435969761931625E-3</v>
      </c>
      <c r="H109" s="20" t="s">
        <v>34</v>
      </c>
      <c r="I109" s="25">
        <f>IFERROR(H109/F109,0)</f>
        <v>0</v>
      </c>
      <c r="J109" s="20" t="s">
        <v>34</v>
      </c>
      <c r="K109" s="27">
        <f>IFERROR(J109/F109,0)</f>
        <v>0</v>
      </c>
      <c r="L109" s="25" t="s">
        <v>34</v>
      </c>
      <c r="M109" s="29" t="s">
        <v>34</v>
      </c>
      <c r="N109" s="29" t="s">
        <v>34</v>
      </c>
      <c r="O109" s="27" t="s">
        <v>34</v>
      </c>
      <c r="P109" s="17">
        <v>66</v>
      </c>
      <c r="Q109" s="179">
        <v>1375</v>
      </c>
      <c r="R109" s="20">
        <v>18</v>
      </c>
      <c r="S109" s="20">
        <v>1742</v>
      </c>
      <c r="T109" s="20">
        <v>75</v>
      </c>
      <c r="U109" s="20">
        <v>4085</v>
      </c>
      <c r="V109" s="22">
        <v>379.27237500000001</v>
      </c>
      <c r="W109" s="32"/>
      <c r="X109" s="6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2:33" ht="15.75" customHeight="1" x14ac:dyDescent="0.2">
      <c r="B110" s="346" t="s">
        <v>126</v>
      </c>
      <c r="C110" s="347"/>
      <c r="D110" s="21">
        <f>SUM(D108:D109)</f>
        <v>5922</v>
      </c>
      <c r="E110" s="21">
        <f t="shared" ref="E110:F110" si="95">SUM(E108:E109)</f>
        <v>585536</v>
      </c>
      <c r="F110" s="21">
        <f t="shared" si="95"/>
        <v>766189</v>
      </c>
      <c r="G110" s="137">
        <f>AVERAGE(G108:G109)</f>
        <v>7.8194340677015216E-3</v>
      </c>
      <c r="H110" s="21">
        <f>SUM(H108:H109)</f>
        <v>0</v>
      </c>
      <c r="I110" s="26">
        <f>IFERROR(AVERAGE(I108:I109),0)</f>
        <v>0</v>
      </c>
      <c r="J110" s="21">
        <f>SUM(J108:J109)</f>
        <v>0</v>
      </c>
      <c r="K110" s="28">
        <f>IFERROR(AVERAGE(K108:K109),0)</f>
        <v>0</v>
      </c>
      <c r="L110" s="26">
        <f t="shared" ref="L110:O110" si="96">IFERROR(AVERAGE(L108:L109),0)</f>
        <v>0</v>
      </c>
      <c r="M110" s="26">
        <f t="shared" si="96"/>
        <v>0</v>
      </c>
      <c r="N110" s="26">
        <f t="shared" si="96"/>
        <v>0</v>
      </c>
      <c r="O110" s="28">
        <f t="shared" si="96"/>
        <v>0</v>
      </c>
      <c r="P110" s="21">
        <f t="shared" ref="P110" si="97">SUM(P108:P109)</f>
        <v>118</v>
      </c>
      <c r="Q110" s="21">
        <f>SUM(Q108:Q109)</f>
        <v>2528</v>
      </c>
      <c r="R110" s="21">
        <f t="shared" ref="R110:V110" si="98">SUM(R108:R109)</f>
        <v>38</v>
      </c>
      <c r="S110" s="21">
        <f t="shared" si="98"/>
        <v>3220</v>
      </c>
      <c r="T110" s="21">
        <f t="shared" si="98"/>
        <v>136</v>
      </c>
      <c r="U110" s="21">
        <f t="shared" si="98"/>
        <v>7497</v>
      </c>
      <c r="V110" s="23">
        <f t="shared" si="98"/>
        <v>758.54475000000002</v>
      </c>
      <c r="W110" s="32"/>
      <c r="X110" s="6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2:33" ht="15.75" customHeight="1" x14ac:dyDescent="0.2">
      <c r="B111" s="348" t="str">
        <f>C38</f>
        <v>22 Aug</v>
      </c>
      <c r="C111" s="174" t="s">
        <v>124</v>
      </c>
      <c r="D111" s="20">
        <v>3694</v>
      </c>
      <c r="E111" s="20">
        <v>403712</v>
      </c>
      <c r="F111" s="20">
        <v>503249</v>
      </c>
      <c r="G111" s="29">
        <f>D111/F111</f>
        <v>7.3403027129711135E-3</v>
      </c>
      <c r="H111" s="20" t="s">
        <v>34</v>
      </c>
      <c r="I111" s="25">
        <f>IFERROR(H111/F111,0)</f>
        <v>0</v>
      </c>
      <c r="J111" s="20" t="s">
        <v>34</v>
      </c>
      <c r="K111" s="27">
        <f>IFERROR(J111/F111,0)</f>
        <v>0</v>
      </c>
      <c r="L111" s="20" t="s">
        <v>34</v>
      </c>
      <c r="M111" s="20" t="s">
        <v>34</v>
      </c>
      <c r="N111" s="20" t="s">
        <v>34</v>
      </c>
      <c r="O111" s="20" t="s">
        <v>34</v>
      </c>
      <c r="P111" s="17">
        <v>75</v>
      </c>
      <c r="Q111" s="17">
        <v>1713</v>
      </c>
      <c r="R111" s="20">
        <v>3</v>
      </c>
      <c r="S111" s="20">
        <v>1920</v>
      </c>
      <c r="T111" s="20">
        <v>58</v>
      </c>
      <c r="U111" s="20">
        <v>4824</v>
      </c>
      <c r="V111" s="22">
        <v>379.27237500000001</v>
      </c>
      <c r="W111" s="32"/>
      <c r="X111" s="6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2:33" ht="15.75" customHeight="1" x14ac:dyDescent="0.2">
      <c r="B112" s="348"/>
      <c r="C112" s="174" t="s">
        <v>125</v>
      </c>
      <c r="D112" s="20">
        <v>3953</v>
      </c>
      <c r="E112" s="20">
        <v>532736</v>
      </c>
      <c r="F112" s="20">
        <v>642346</v>
      </c>
      <c r="G112" s="29">
        <f>D112/F112</f>
        <v>6.1540042282508178E-3</v>
      </c>
      <c r="H112" s="20" t="s">
        <v>34</v>
      </c>
      <c r="I112" s="25">
        <f>IFERROR(H112/F112,0)</f>
        <v>0</v>
      </c>
      <c r="J112" s="20" t="s">
        <v>34</v>
      </c>
      <c r="K112" s="27">
        <f>IFERROR(J112/F112,0)</f>
        <v>0</v>
      </c>
      <c r="L112" s="20" t="s">
        <v>34</v>
      </c>
      <c r="M112" s="20" t="s">
        <v>34</v>
      </c>
      <c r="N112" s="20" t="s">
        <v>34</v>
      </c>
      <c r="O112" s="20" t="s">
        <v>34</v>
      </c>
      <c r="P112" s="17">
        <v>70</v>
      </c>
      <c r="Q112" s="17">
        <v>2024</v>
      </c>
      <c r="R112" s="20">
        <v>12</v>
      </c>
      <c r="S112" s="20">
        <v>1869</v>
      </c>
      <c r="T112" s="20">
        <v>48</v>
      </c>
      <c r="U112" s="20">
        <v>5250</v>
      </c>
      <c r="V112" s="22">
        <v>379.27237500000001</v>
      </c>
      <c r="W112" s="32"/>
      <c r="X112" s="6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2:34" ht="15.75" customHeight="1" x14ac:dyDescent="0.2">
      <c r="B113" s="346" t="s">
        <v>126</v>
      </c>
      <c r="C113" s="347"/>
      <c r="D113" s="21">
        <f>SUM(D111:D112)</f>
        <v>7647</v>
      </c>
      <c r="E113" s="21">
        <f t="shared" ref="E113:F113" si="99">SUM(E111:E112)</f>
        <v>936448</v>
      </c>
      <c r="F113" s="21">
        <f t="shared" si="99"/>
        <v>1145595</v>
      </c>
      <c r="G113" s="137">
        <f>AVERAGE(G111:G112)</f>
        <v>6.7471534706109657E-3</v>
      </c>
      <c r="H113" s="21">
        <f>SUM(H111:H112)</f>
        <v>0</v>
      </c>
      <c r="I113" s="26">
        <f>IFERROR(AVERAGE(I111:I112),0)</f>
        <v>0</v>
      </c>
      <c r="J113" s="21">
        <f>SUM(J111:J112)</f>
        <v>0</v>
      </c>
      <c r="K113" s="28">
        <f>IFERROR(AVERAGE(K111:K112),0)</f>
        <v>0</v>
      </c>
      <c r="L113" s="26">
        <f t="shared" ref="L113:O113" si="100">IFERROR(AVERAGE(L111:L112),0)</f>
        <v>0</v>
      </c>
      <c r="M113" s="26">
        <f t="shared" si="100"/>
        <v>0</v>
      </c>
      <c r="N113" s="26">
        <f t="shared" si="100"/>
        <v>0</v>
      </c>
      <c r="O113" s="28">
        <f t="shared" si="100"/>
        <v>0</v>
      </c>
      <c r="P113" s="21">
        <f t="shared" ref="P113" si="101">SUM(P111:P112)</f>
        <v>145</v>
      </c>
      <c r="Q113" s="21">
        <f>SUM(Q111:Q112)</f>
        <v>3737</v>
      </c>
      <c r="R113" s="21">
        <f t="shared" ref="R113:V113" si="102">SUM(R111:R112)</f>
        <v>15</v>
      </c>
      <c r="S113" s="21">
        <f t="shared" si="102"/>
        <v>3789</v>
      </c>
      <c r="T113" s="21">
        <f t="shared" si="102"/>
        <v>106</v>
      </c>
      <c r="U113" s="21">
        <f t="shared" si="102"/>
        <v>10074</v>
      </c>
      <c r="V113" s="23">
        <f t="shared" si="102"/>
        <v>758.54475000000002</v>
      </c>
      <c r="W113" s="32"/>
      <c r="X113" s="6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2:34" ht="15.75" customHeight="1" x14ac:dyDescent="0.2">
      <c r="B114" s="348" t="str">
        <f>C39</f>
        <v>25 Aug</v>
      </c>
      <c r="C114" s="174" t="s">
        <v>124</v>
      </c>
      <c r="D114" s="20">
        <v>7352</v>
      </c>
      <c r="E114" s="20">
        <v>287232</v>
      </c>
      <c r="F114" s="20">
        <v>431844</v>
      </c>
      <c r="G114" s="29">
        <f>D114/F114</f>
        <v>1.7024666314687711E-2</v>
      </c>
      <c r="H114" s="3">
        <v>6660</v>
      </c>
      <c r="I114" s="25">
        <f>IFERROR(H114/F114,0)</f>
        <v>1.5422235807374885E-2</v>
      </c>
      <c r="J114" s="3">
        <v>2597</v>
      </c>
      <c r="K114" s="29">
        <f>IFERROR(J114/F114,0)</f>
        <v>6.0137457044673543E-3</v>
      </c>
      <c r="L114" s="25">
        <v>2.8566617252050432E-2</v>
      </c>
      <c r="M114" s="25">
        <v>1.3024478178891952E-2</v>
      </c>
      <c r="N114" s="29">
        <v>8.4943449250637001E-3</v>
      </c>
      <c r="O114" s="29">
        <v>6.1285166505171971E-3</v>
      </c>
      <c r="P114" s="17">
        <v>30</v>
      </c>
      <c r="Q114" s="17" t="s">
        <v>34</v>
      </c>
      <c r="R114" s="20">
        <v>1</v>
      </c>
      <c r="S114" s="20">
        <v>682</v>
      </c>
      <c r="T114" s="20">
        <v>2</v>
      </c>
      <c r="U114" s="20">
        <v>4089</v>
      </c>
      <c r="V114" s="22">
        <v>379.27237500000001</v>
      </c>
      <c r="W114" s="32"/>
      <c r="X114" s="6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2:34" ht="15.75" customHeight="1" x14ac:dyDescent="0.2">
      <c r="B115" s="348"/>
      <c r="C115" s="174" t="s">
        <v>125</v>
      </c>
      <c r="D115" s="20">
        <v>7311</v>
      </c>
      <c r="E115" s="20">
        <v>440960</v>
      </c>
      <c r="F115" s="20">
        <v>626694</v>
      </c>
      <c r="G115" s="29">
        <f>D115/F115</f>
        <v>1.1665980526381296E-2</v>
      </c>
      <c r="H115" s="3">
        <v>6603</v>
      </c>
      <c r="I115" s="25">
        <f>IFERROR(H115/F115,0)</f>
        <v>1.0536242568143304E-2</v>
      </c>
      <c r="J115" s="3">
        <v>2719</v>
      </c>
      <c r="K115" s="29">
        <f>IFERROR(J115/F115,0)</f>
        <v>4.3386405486569206E-3</v>
      </c>
      <c r="L115" s="25">
        <v>1.2679709211134324E-2</v>
      </c>
      <c r="M115" s="25">
        <v>6.9605794950895212E-3</v>
      </c>
      <c r="N115" s="27">
        <v>4.3019570324957209E-3</v>
      </c>
      <c r="O115" s="27">
        <v>3.0735237648957703E-3</v>
      </c>
      <c r="P115" s="17">
        <v>32</v>
      </c>
      <c r="Q115" s="17" t="s">
        <v>34</v>
      </c>
      <c r="R115" s="20">
        <v>3</v>
      </c>
      <c r="S115" s="20">
        <v>699</v>
      </c>
      <c r="T115" s="20">
        <v>1</v>
      </c>
      <c r="U115" s="20">
        <v>5140</v>
      </c>
      <c r="V115" s="22">
        <v>379.27237500000001</v>
      </c>
      <c r="W115" s="32"/>
      <c r="X115" s="6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2:34" ht="15.75" customHeight="1" x14ac:dyDescent="0.2">
      <c r="B116" s="346" t="s">
        <v>126</v>
      </c>
      <c r="C116" s="347"/>
      <c r="D116" s="21">
        <f>SUM(D114:D115)</f>
        <v>14663</v>
      </c>
      <c r="E116" s="21">
        <f t="shared" ref="E116:F116" si="103">SUM(E114:E115)</f>
        <v>728192</v>
      </c>
      <c r="F116" s="21">
        <f t="shared" si="103"/>
        <v>1058538</v>
      </c>
      <c r="G116" s="137">
        <f>AVERAGE(G114:G115)</f>
        <v>1.4345323420534503E-2</v>
      </c>
      <c r="H116" s="21">
        <f>SUM(H114:H115)</f>
        <v>13263</v>
      </c>
      <c r="I116" s="26">
        <f>IFERROR(AVERAGE(I114:I115),0)</f>
        <v>1.2979239187759095E-2</v>
      </c>
      <c r="J116" s="21">
        <f>SUM(J114:J115)</f>
        <v>5316</v>
      </c>
      <c r="K116" s="26">
        <f>IFERROR(AVERAGE(K114:K115),0)</f>
        <v>5.1761931265621374E-3</v>
      </c>
      <c r="L116" s="26">
        <f t="shared" ref="L116:O116" si="104">IFERROR(AVERAGE(L114:L115),0)</f>
        <v>2.0623163231592377E-2</v>
      </c>
      <c r="M116" s="26">
        <f t="shared" si="104"/>
        <v>9.9925288369907377E-3</v>
      </c>
      <c r="N116" s="26">
        <f t="shared" si="104"/>
        <v>6.3981509787797101E-3</v>
      </c>
      <c r="O116" s="28">
        <f t="shared" si="104"/>
        <v>4.6010202077064839E-3</v>
      </c>
      <c r="P116" s="21">
        <f t="shared" ref="P116" si="105">SUM(P114:P115)</f>
        <v>62</v>
      </c>
      <c r="Q116" s="21" t="s">
        <v>34</v>
      </c>
      <c r="R116" s="21">
        <f t="shared" ref="R116" si="106">SUM(R114:R115)</f>
        <v>4</v>
      </c>
      <c r="S116" s="21">
        <f>SUM(S114:S115)</f>
        <v>1381</v>
      </c>
      <c r="T116" s="21">
        <f t="shared" ref="T116:V116" si="107">SUM(T114:T115)</f>
        <v>3</v>
      </c>
      <c r="U116" s="21">
        <f t="shared" si="107"/>
        <v>9229</v>
      </c>
      <c r="V116" s="23">
        <f t="shared" si="107"/>
        <v>758.54475000000002</v>
      </c>
      <c r="W116" s="32"/>
      <c r="X116" s="6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2:34" ht="12.75" x14ac:dyDescent="0.2">
      <c r="B117" s="348" t="str">
        <f>C40</f>
        <v>1 Sept</v>
      </c>
      <c r="C117" s="174" t="s">
        <v>124</v>
      </c>
      <c r="D117" s="20">
        <v>7677</v>
      </c>
      <c r="E117" s="20">
        <v>281855</v>
      </c>
      <c r="F117" s="20">
        <v>415147</v>
      </c>
      <c r="G117" s="29">
        <f>D117/F117</f>
        <v>1.8492244915656382E-2</v>
      </c>
      <c r="H117" s="3">
        <v>6838</v>
      </c>
      <c r="I117" s="25">
        <f>IFERROR(H117/F117,0)</f>
        <v>1.6471274030644568E-2</v>
      </c>
      <c r="J117" s="3">
        <v>1786</v>
      </c>
      <c r="K117" s="27">
        <f>IFERROR(J117/F117,0)</f>
        <v>4.3020905847808129E-3</v>
      </c>
      <c r="L117" s="25">
        <v>1.4245556393277563E-2</v>
      </c>
      <c r="M117" s="25">
        <v>7.638258255509494E-3</v>
      </c>
      <c r="N117" s="29">
        <v>5.6124697998540278E-3</v>
      </c>
      <c r="O117" s="27">
        <v>4.306908155424464E-3</v>
      </c>
      <c r="P117" s="17">
        <v>37</v>
      </c>
      <c r="Q117" s="17" t="s">
        <v>34</v>
      </c>
      <c r="R117" s="20">
        <v>7</v>
      </c>
      <c r="S117" s="20">
        <v>816</v>
      </c>
      <c r="T117" s="20">
        <v>16</v>
      </c>
      <c r="U117" s="20">
        <v>5169</v>
      </c>
      <c r="V117" s="22">
        <v>378.91987499999999</v>
      </c>
      <c r="W117" s="2"/>
      <c r="X117" s="2"/>
      <c r="Y117" s="6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2:34" ht="12.75" x14ac:dyDescent="0.2">
      <c r="B118" s="348"/>
      <c r="C118" s="174" t="s">
        <v>125</v>
      </c>
      <c r="D118" s="20">
        <v>7911</v>
      </c>
      <c r="E118" s="20">
        <v>377600</v>
      </c>
      <c r="F118" s="20">
        <v>548076</v>
      </c>
      <c r="G118" s="29">
        <f>D118/F118</f>
        <v>1.443412957327086E-2</v>
      </c>
      <c r="H118" s="3">
        <v>7019</v>
      </c>
      <c r="I118" s="25">
        <f>IFERROR(H118/F118,0)</f>
        <v>1.2806618060269014E-2</v>
      </c>
      <c r="J118" s="3">
        <v>1872</v>
      </c>
      <c r="K118" s="27">
        <f>IFERROR(J118/F118,0)</f>
        <v>3.4155846999321263E-3</v>
      </c>
      <c r="L118" s="25">
        <v>1.1177281982790707E-2</v>
      </c>
      <c r="M118" s="25">
        <v>6.0830979645158699E-3</v>
      </c>
      <c r="N118" s="27">
        <v>4.4336916777965099E-3</v>
      </c>
      <c r="O118" s="27">
        <v>3.40281274859691E-3</v>
      </c>
      <c r="P118" s="17">
        <v>51</v>
      </c>
      <c r="Q118" s="17" t="s">
        <v>34</v>
      </c>
      <c r="R118" s="20">
        <v>3</v>
      </c>
      <c r="S118" s="20">
        <v>874</v>
      </c>
      <c r="T118" s="20">
        <v>15</v>
      </c>
      <c r="U118" s="20">
        <v>6246</v>
      </c>
      <c r="V118" s="22">
        <v>378.91987499999999</v>
      </c>
      <c r="W118" s="2"/>
      <c r="X118" s="2"/>
      <c r="Y118" s="6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2:34" ht="12.75" x14ac:dyDescent="0.2">
      <c r="B119" s="346" t="s">
        <v>126</v>
      </c>
      <c r="C119" s="347"/>
      <c r="D119" s="21">
        <f>SUM(D117:D118)</f>
        <v>15588</v>
      </c>
      <c r="E119" s="21">
        <f t="shared" ref="E119:F119" si="108">SUM(E117:E118)</f>
        <v>659455</v>
      </c>
      <c r="F119" s="21">
        <f t="shared" si="108"/>
        <v>963223</v>
      </c>
      <c r="G119" s="137">
        <f>AVERAGE(G117:G118)</f>
        <v>1.646318724446362E-2</v>
      </c>
      <c r="H119" s="21">
        <f>SUM(H117:H118)</f>
        <v>13857</v>
      </c>
      <c r="I119" s="26">
        <f>IFERROR(AVERAGE(I117:I118),0)</f>
        <v>1.4638946045456791E-2</v>
      </c>
      <c r="J119" s="21">
        <f>SUM(J117:J118)</f>
        <v>3658</v>
      </c>
      <c r="K119" s="28">
        <f>IFERROR(AVERAGE(K117:K118),0)</f>
        <v>3.8588376423564696E-3</v>
      </c>
      <c r="L119" s="26">
        <f t="shared" ref="L119:O119" si="109">IFERROR(AVERAGE(L117:L118),0)</f>
        <v>1.2711419188034135E-2</v>
      </c>
      <c r="M119" s="26">
        <f t="shared" si="109"/>
        <v>6.8606781100126815E-3</v>
      </c>
      <c r="N119" s="26">
        <f t="shared" si="109"/>
        <v>5.0230807388252693E-3</v>
      </c>
      <c r="O119" s="28">
        <f t="shared" si="109"/>
        <v>3.854860452010687E-3</v>
      </c>
      <c r="P119" s="21">
        <f t="shared" ref="P119" si="110">SUM(P117:P118)</f>
        <v>88</v>
      </c>
      <c r="Q119" s="21" t="s">
        <v>34</v>
      </c>
      <c r="R119" s="21">
        <f t="shared" ref="R119" si="111">SUM(R117:R118)</f>
        <v>10</v>
      </c>
      <c r="S119" s="21">
        <f>SUM(S117:S118)</f>
        <v>1690</v>
      </c>
      <c r="T119" s="21">
        <f t="shared" ref="T119:V119" si="112">SUM(T117:T118)</f>
        <v>31</v>
      </c>
      <c r="U119" s="21">
        <f t="shared" si="112"/>
        <v>11415</v>
      </c>
      <c r="V119" s="23">
        <f t="shared" si="112"/>
        <v>757.83974999999998</v>
      </c>
      <c r="W119" s="2"/>
      <c r="X119" s="2"/>
      <c r="Y119" s="6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2:34" ht="12.75" x14ac:dyDescent="0.2">
      <c r="B120" s="348" t="str">
        <f>C41</f>
        <v>5 Sept</v>
      </c>
      <c r="C120" s="174" t="s">
        <v>124</v>
      </c>
      <c r="D120" s="20">
        <v>2927</v>
      </c>
      <c r="E120" s="20">
        <v>281664</v>
      </c>
      <c r="F120" s="20">
        <v>427368</v>
      </c>
      <c r="G120" s="29">
        <f>D120/F120</f>
        <v>6.84889837329889E-3</v>
      </c>
      <c r="H120" s="20" t="s">
        <v>34</v>
      </c>
      <c r="I120" s="25">
        <f>IFERROR(H120/F120,0)</f>
        <v>0</v>
      </c>
      <c r="J120" s="20" t="s">
        <v>34</v>
      </c>
      <c r="K120" s="29">
        <f>IFERROR(J120/F120,0)</f>
        <v>0</v>
      </c>
      <c r="L120" s="20" t="s">
        <v>34</v>
      </c>
      <c r="M120" s="20" t="s">
        <v>34</v>
      </c>
      <c r="N120" s="20" t="s">
        <v>34</v>
      </c>
      <c r="O120" s="20" t="s">
        <v>34</v>
      </c>
      <c r="P120" s="17">
        <v>87</v>
      </c>
      <c r="Q120" s="17">
        <v>1363</v>
      </c>
      <c r="R120" s="20">
        <v>8</v>
      </c>
      <c r="S120" s="20">
        <v>1546</v>
      </c>
      <c r="T120" s="20">
        <v>10</v>
      </c>
      <c r="U120" s="20">
        <v>4474</v>
      </c>
      <c r="V120" s="22">
        <v>379.27237500000001</v>
      </c>
      <c r="W120" s="2"/>
      <c r="X120" s="2"/>
      <c r="Y120" s="6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2:34" ht="12.75" x14ac:dyDescent="0.2">
      <c r="B121" s="348"/>
      <c r="C121" s="174" t="s">
        <v>125</v>
      </c>
      <c r="D121" s="20">
        <v>3255</v>
      </c>
      <c r="E121" s="20">
        <v>388800</v>
      </c>
      <c r="F121" s="20">
        <v>568584</v>
      </c>
      <c r="G121" s="29">
        <f>D121/F121</f>
        <v>5.7247477945211265E-3</v>
      </c>
      <c r="H121" s="20" t="s">
        <v>34</v>
      </c>
      <c r="I121" s="25">
        <f>IFERROR(H121/F121,0)</f>
        <v>0</v>
      </c>
      <c r="J121" s="20" t="s">
        <v>34</v>
      </c>
      <c r="K121" s="29">
        <f>IFERROR(J121/F121,0)</f>
        <v>0</v>
      </c>
      <c r="L121" s="20" t="s">
        <v>34</v>
      </c>
      <c r="M121" s="20" t="s">
        <v>34</v>
      </c>
      <c r="N121" s="20" t="s">
        <v>34</v>
      </c>
      <c r="O121" s="20" t="s">
        <v>34</v>
      </c>
      <c r="P121" s="17">
        <v>89</v>
      </c>
      <c r="Q121" s="17">
        <v>1710</v>
      </c>
      <c r="R121" s="20">
        <v>4</v>
      </c>
      <c r="S121" s="20">
        <v>1534</v>
      </c>
      <c r="T121" s="20">
        <v>7</v>
      </c>
      <c r="U121" s="20">
        <v>5148</v>
      </c>
      <c r="V121" s="22">
        <v>379.27237500000001</v>
      </c>
      <c r="W121" s="2"/>
      <c r="X121" s="2"/>
      <c r="Y121" s="6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2:34" ht="12.75" x14ac:dyDescent="0.2">
      <c r="B122" s="346" t="s">
        <v>126</v>
      </c>
      <c r="C122" s="347"/>
      <c r="D122" s="21">
        <f>SUM(D120:D121)</f>
        <v>6182</v>
      </c>
      <c r="E122" s="21">
        <f t="shared" ref="E122:F122" si="113">SUM(E120:E121)</f>
        <v>670464</v>
      </c>
      <c r="F122" s="21">
        <f t="shared" si="113"/>
        <v>995952</v>
      </c>
      <c r="G122" s="137">
        <f>AVERAGE(G120:G121)</f>
        <v>6.2868230839100078E-3</v>
      </c>
      <c r="H122" s="21">
        <f>SUM(H120:H121)</f>
        <v>0</v>
      </c>
      <c r="I122" s="26">
        <f>IFERROR(AVERAGE(I120:I121),0)</f>
        <v>0</v>
      </c>
      <c r="J122" s="21">
        <f>SUM(J120:J121)</f>
        <v>0</v>
      </c>
      <c r="K122" s="26">
        <f>IFERROR(AVERAGE(K120:K121),0)</f>
        <v>0</v>
      </c>
      <c r="L122" s="26">
        <f t="shared" ref="L122:O122" si="114">IFERROR(AVERAGE(L120:L121),0)</f>
        <v>0</v>
      </c>
      <c r="M122" s="26">
        <f t="shared" si="114"/>
        <v>0</v>
      </c>
      <c r="N122" s="26">
        <f t="shared" si="114"/>
        <v>0</v>
      </c>
      <c r="O122" s="28">
        <f t="shared" si="114"/>
        <v>0</v>
      </c>
      <c r="P122" s="21">
        <f t="shared" ref="P122" si="115">SUM(P120:P121)</f>
        <v>176</v>
      </c>
      <c r="Q122" s="21">
        <f>SUM(Q120:Q121)</f>
        <v>3073</v>
      </c>
      <c r="R122" s="21">
        <f t="shared" ref="R122" si="116">SUM(R120:R121)</f>
        <v>12</v>
      </c>
      <c r="S122" s="21">
        <f>SUM(S120:S121)</f>
        <v>3080</v>
      </c>
      <c r="T122" s="21">
        <f t="shared" ref="T122:V122" si="117">SUM(T120:T121)</f>
        <v>17</v>
      </c>
      <c r="U122" s="21">
        <f t="shared" si="117"/>
        <v>9622</v>
      </c>
      <c r="V122" s="23">
        <f t="shared" si="117"/>
        <v>758.54475000000002</v>
      </c>
      <c r="W122" s="2"/>
      <c r="X122" s="2"/>
      <c r="Y122" s="6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2:34" ht="12.75" x14ac:dyDescent="0.2">
      <c r="B123" s="348" t="str">
        <f>C42</f>
        <v>21 Sept</v>
      </c>
      <c r="C123" s="174" t="s">
        <v>124</v>
      </c>
      <c r="D123" s="20">
        <v>7371</v>
      </c>
      <c r="E123" s="20">
        <v>331520</v>
      </c>
      <c r="F123" s="20">
        <v>425142</v>
      </c>
      <c r="G123" s="29">
        <f>D123/F123</f>
        <v>1.7337736568017275E-2</v>
      </c>
      <c r="H123" s="20">
        <v>6714</v>
      </c>
      <c r="I123" s="25">
        <f>IFERROR(H123/F123,0)</f>
        <v>1.5792370549134172E-2</v>
      </c>
      <c r="J123" s="20">
        <v>6714</v>
      </c>
      <c r="K123" s="29">
        <f>IFERROR(J123/F123,0)</f>
        <v>1.5792370549134172E-2</v>
      </c>
      <c r="L123" s="182">
        <v>6.5926208184559507E-2</v>
      </c>
      <c r="M123" s="182">
        <v>3.3228897638906532E-2</v>
      </c>
      <c r="N123" s="182">
        <v>2.2159654891777337E-2</v>
      </c>
      <c r="O123" s="182">
        <v>1.6726176195247706E-2</v>
      </c>
      <c r="P123" s="17" t="s">
        <v>34</v>
      </c>
      <c r="Q123" s="17" t="s">
        <v>34</v>
      </c>
      <c r="R123" s="20">
        <v>5</v>
      </c>
      <c r="S123" s="20">
        <v>647</v>
      </c>
      <c r="T123" s="20">
        <v>5</v>
      </c>
      <c r="U123" s="20">
        <v>4101</v>
      </c>
      <c r="V123" s="22">
        <v>379.27237500000001</v>
      </c>
      <c r="W123" s="2"/>
      <c r="X123" s="2"/>
      <c r="Y123" s="6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2:34" ht="12.75" x14ac:dyDescent="0.2">
      <c r="B124" s="348"/>
      <c r="C124" s="174" t="s">
        <v>125</v>
      </c>
      <c r="D124" s="20">
        <v>8509</v>
      </c>
      <c r="E124" s="20">
        <v>563072</v>
      </c>
      <c r="F124" s="20">
        <v>577801</v>
      </c>
      <c r="G124" s="29">
        <f>D124/F124</f>
        <v>1.4726523491651971E-2</v>
      </c>
      <c r="H124" s="20">
        <v>7680</v>
      </c>
      <c r="I124" s="25">
        <f>IFERROR(H124/F124,0)</f>
        <v>1.32917734652588E-2</v>
      </c>
      <c r="J124" s="20">
        <v>7680</v>
      </c>
      <c r="K124" s="29">
        <f>IFERROR(J124/F124,0)</f>
        <v>1.32917734652588E-2</v>
      </c>
      <c r="L124" s="182">
        <v>5.5513922613494956E-2</v>
      </c>
      <c r="M124" s="182">
        <v>2.7994067161531393E-2</v>
      </c>
      <c r="N124" s="182">
        <v>1.835406999987885E-2</v>
      </c>
      <c r="O124" s="182">
        <v>1.3992706831590807E-2</v>
      </c>
      <c r="P124" s="17" t="s">
        <v>34</v>
      </c>
      <c r="Q124" s="17" t="s">
        <v>34</v>
      </c>
      <c r="R124" s="20">
        <v>4</v>
      </c>
      <c r="S124" s="20">
        <v>814</v>
      </c>
      <c r="T124" s="20">
        <v>11</v>
      </c>
      <c r="U124" s="20">
        <v>5243</v>
      </c>
      <c r="V124" s="22">
        <v>379.27237500000001</v>
      </c>
      <c r="W124" s="2"/>
      <c r="X124" s="2"/>
      <c r="Y124" s="6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2:34" ht="12.75" x14ac:dyDescent="0.2">
      <c r="B125" s="346" t="s">
        <v>126</v>
      </c>
      <c r="C125" s="347"/>
      <c r="D125" s="21">
        <f>SUM(D123:D124)</f>
        <v>15880</v>
      </c>
      <c r="E125" s="21">
        <f t="shared" ref="E125:F125" si="118">SUM(E123:E124)</f>
        <v>894592</v>
      </c>
      <c r="F125" s="21">
        <f t="shared" si="118"/>
        <v>1002943</v>
      </c>
      <c r="G125" s="137">
        <f>AVERAGE(G123:G124)</f>
        <v>1.6032130029834623E-2</v>
      </c>
      <c r="H125" s="21">
        <f>SUM(H123:H124)</f>
        <v>14394</v>
      </c>
      <c r="I125" s="26">
        <f>IFERROR(AVERAGE(I123:I124),0)</f>
        <v>1.4542072007196486E-2</v>
      </c>
      <c r="J125" s="21">
        <f>SUM(J123:J124)</f>
        <v>14394</v>
      </c>
      <c r="K125" s="26">
        <f>IFERROR(AVERAGE(K123:K124),0)</f>
        <v>1.4542072007196486E-2</v>
      </c>
      <c r="L125" s="26">
        <f t="shared" ref="L125:O125" si="119">IFERROR(AVERAGE(L123:L124),0)</f>
        <v>6.0720065399027232E-2</v>
      </c>
      <c r="M125" s="26">
        <f t="shared" si="119"/>
        <v>3.0611482400218964E-2</v>
      </c>
      <c r="N125" s="26">
        <f t="shared" si="119"/>
        <v>2.0256862445828094E-2</v>
      </c>
      <c r="O125" s="28">
        <f t="shared" si="119"/>
        <v>1.5359441513419256E-2</v>
      </c>
      <c r="P125" s="21">
        <f t="shared" ref="P125" si="120">SUM(P123:P124)</f>
        <v>0</v>
      </c>
      <c r="Q125" s="21">
        <f>SUM(Q123:Q124)</f>
        <v>0</v>
      </c>
      <c r="R125" s="21">
        <f t="shared" ref="R125" si="121">SUM(R123:R124)</f>
        <v>9</v>
      </c>
      <c r="S125" s="21">
        <f>SUM(S123:S124)</f>
        <v>1461</v>
      </c>
      <c r="T125" s="21">
        <f t="shared" ref="T125:V125" si="122">SUM(T123:T124)</f>
        <v>16</v>
      </c>
      <c r="U125" s="21">
        <f t="shared" si="122"/>
        <v>9344</v>
      </c>
      <c r="V125" s="23">
        <f t="shared" si="122"/>
        <v>758.54475000000002</v>
      </c>
      <c r="W125" s="2"/>
      <c r="X125" s="2"/>
      <c r="Y125" s="6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2:34" ht="12.75" x14ac:dyDescent="0.2">
      <c r="B126" s="348" t="str">
        <f>C43</f>
        <v>15 Sept</v>
      </c>
      <c r="C126" s="174" t="s">
        <v>124</v>
      </c>
      <c r="D126" s="20">
        <v>11492</v>
      </c>
      <c r="E126" s="20">
        <v>360512</v>
      </c>
      <c r="F126" s="20">
        <v>470462</v>
      </c>
      <c r="G126" s="29">
        <f>D126/F126</f>
        <v>2.4427052556848374E-2</v>
      </c>
      <c r="H126" s="20">
        <v>10960</v>
      </c>
      <c r="I126" s="25">
        <f>IFERROR(H126/F126,0)</f>
        <v>2.3296249218852958E-2</v>
      </c>
      <c r="J126" s="20">
        <v>8894</v>
      </c>
      <c r="K126" s="29">
        <f>IFERROR(J126/F126,0)</f>
        <v>1.8904821218291807E-2</v>
      </c>
      <c r="L126" s="178">
        <v>5.4155277153096315E-2</v>
      </c>
      <c r="M126" s="178">
        <v>3.3178025005207647E-2</v>
      </c>
      <c r="N126" s="178">
        <v>2.4867045584978171E-2</v>
      </c>
      <c r="O126" s="178">
        <v>1.946597174692111E-2</v>
      </c>
      <c r="P126" s="17">
        <v>1</v>
      </c>
      <c r="Q126" s="17" t="s">
        <v>34</v>
      </c>
      <c r="R126" s="20">
        <v>3</v>
      </c>
      <c r="S126" s="20">
        <v>528</v>
      </c>
      <c r="T126" s="20">
        <v>1</v>
      </c>
      <c r="U126" s="20">
        <v>3818</v>
      </c>
      <c r="V126" s="22">
        <v>379.27237500000001</v>
      </c>
      <c r="W126" s="2"/>
      <c r="X126" s="2"/>
      <c r="Y126" s="6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2:34" ht="12.75" x14ac:dyDescent="0.2">
      <c r="B127" s="348"/>
      <c r="C127" s="174" t="s">
        <v>125</v>
      </c>
      <c r="D127" s="20">
        <v>12541</v>
      </c>
      <c r="E127" s="20">
        <v>620800</v>
      </c>
      <c r="F127" s="20">
        <v>623867</v>
      </c>
      <c r="G127" s="29">
        <f>D127/F127</f>
        <v>2.0102040979888342E-2</v>
      </c>
      <c r="H127" s="20">
        <v>11929</v>
      </c>
      <c r="I127" s="25">
        <f>IFERROR(H127/F127,0)</f>
        <v>1.9121062662394387E-2</v>
      </c>
      <c r="J127" s="20">
        <v>9765</v>
      </c>
      <c r="K127" s="29">
        <f>IFERROR(J127/F127,0)</f>
        <v>1.5652374624719693E-2</v>
      </c>
      <c r="L127" s="178">
        <v>4.168356396475531E-2</v>
      </c>
      <c r="M127" s="178">
        <v>2.6245978710205863E-2</v>
      </c>
      <c r="N127" s="178">
        <v>2.0276757706370108E-2</v>
      </c>
      <c r="O127" s="178">
        <v>1.595692671675213E-2</v>
      </c>
      <c r="P127" s="17">
        <v>0</v>
      </c>
      <c r="Q127" s="17" t="s">
        <v>34</v>
      </c>
      <c r="R127" s="20">
        <v>2</v>
      </c>
      <c r="S127" s="20">
        <v>606</v>
      </c>
      <c r="T127" s="20">
        <v>4</v>
      </c>
      <c r="U127" s="20">
        <v>4638</v>
      </c>
      <c r="V127" s="22">
        <v>379.27237500000001</v>
      </c>
      <c r="W127" s="2"/>
      <c r="X127" s="2"/>
      <c r="Y127" s="6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2:34" ht="12.75" x14ac:dyDescent="0.2">
      <c r="B128" s="346" t="s">
        <v>126</v>
      </c>
      <c r="C128" s="347"/>
      <c r="D128" s="21">
        <f>SUM(D126:D127)</f>
        <v>24033</v>
      </c>
      <c r="E128" s="21">
        <f t="shared" ref="E128:F128" si="123">SUM(E126:E127)</f>
        <v>981312</v>
      </c>
      <c r="F128" s="21">
        <f t="shared" si="123"/>
        <v>1094329</v>
      </c>
      <c r="G128" s="137">
        <f>AVERAGE(G126:G127)</f>
        <v>2.2264546768368358E-2</v>
      </c>
      <c r="H128" s="21">
        <f>SUM(H126:H127)</f>
        <v>22889</v>
      </c>
      <c r="I128" s="26">
        <f>IFERROR(AVERAGE(I126:I127),0)</f>
        <v>2.1208655940623673E-2</v>
      </c>
      <c r="J128" s="21">
        <f>SUM(J126:J127)</f>
        <v>18659</v>
      </c>
      <c r="K128" s="26">
        <f>IFERROR(AVERAGE(K126:K127),0)</f>
        <v>1.727859792150575E-2</v>
      </c>
      <c r="L128" s="26">
        <f t="shared" ref="L128:O128" si="124">IFERROR(AVERAGE(L126:L127),0)</f>
        <v>4.7919420558925813E-2</v>
      </c>
      <c r="M128" s="26">
        <f t="shared" si="124"/>
        <v>2.9712001857706755E-2</v>
      </c>
      <c r="N128" s="26">
        <f t="shared" si="124"/>
        <v>2.2571901645674138E-2</v>
      </c>
      <c r="O128" s="28">
        <f t="shared" si="124"/>
        <v>1.771144923183662E-2</v>
      </c>
      <c r="P128" s="21">
        <f t="shared" ref="P128" si="125">SUM(P126:P127)</f>
        <v>1</v>
      </c>
      <c r="Q128" s="21">
        <f>SUM(Q126:Q127)</f>
        <v>0</v>
      </c>
      <c r="R128" s="21">
        <f t="shared" ref="R128" si="126">SUM(R126:R127)</f>
        <v>5</v>
      </c>
      <c r="S128" s="21">
        <f>SUM(S126:S127)</f>
        <v>1134</v>
      </c>
      <c r="T128" s="21">
        <f t="shared" ref="T128:V128" si="127">SUM(T126:T127)</f>
        <v>5</v>
      </c>
      <c r="U128" s="21">
        <f t="shared" si="127"/>
        <v>8456</v>
      </c>
      <c r="V128" s="23">
        <f t="shared" si="127"/>
        <v>758.54475000000002</v>
      </c>
      <c r="W128" s="2"/>
      <c r="X128" s="2"/>
      <c r="Y128" s="6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2:34" ht="12.75" x14ac:dyDescent="0.2">
      <c r="B129" s="348" t="str">
        <f>C44</f>
        <v>24 Sept</v>
      </c>
      <c r="C129" s="174" t="s">
        <v>124</v>
      </c>
      <c r="D129" s="20">
        <v>17698</v>
      </c>
      <c r="E129" s="20">
        <v>418943</v>
      </c>
      <c r="F129" s="20">
        <v>590283</v>
      </c>
      <c r="G129" s="29">
        <f>D129/F129</f>
        <v>2.9982228863104646E-2</v>
      </c>
      <c r="H129" s="20">
        <v>17101</v>
      </c>
      <c r="I129" s="25">
        <f>IFERROR(H129/F129,0)</f>
        <v>2.8970849575542579E-2</v>
      </c>
      <c r="J129" s="20">
        <v>10942</v>
      </c>
      <c r="K129" s="29">
        <f>IFERROR(J129/F129,0)</f>
        <v>1.8536871297326875E-2</v>
      </c>
      <c r="L129" s="178">
        <v>3.0178744771575668E-2</v>
      </c>
      <c r="M129" s="178">
        <v>2.2521400751842759E-2</v>
      </c>
      <c r="N129" s="178">
        <v>2.0468148328852433E-2</v>
      </c>
      <c r="O129" s="178">
        <v>1.8652070278154714E-2</v>
      </c>
      <c r="P129" s="17">
        <v>2</v>
      </c>
      <c r="Q129" s="17" t="s">
        <v>34</v>
      </c>
      <c r="R129" s="20">
        <v>1</v>
      </c>
      <c r="S129" s="20">
        <v>590</v>
      </c>
      <c r="T129" s="20">
        <v>6</v>
      </c>
      <c r="U129" s="20">
        <v>6765</v>
      </c>
      <c r="V129" s="22">
        <v>379.27237500000001</v>
      </c>
      <c r="W129" s="2"/>
      <c r="X129" s="2"/>
      <c r="Y129" s="6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2:34" ht="12.75" x14ac:dyDescent="0.2">
      <c r="B130" s="348"/>
      <c r="C130" s="174" t="s">
        <v>125</v>
      </c>
      <c r="D130" s="20">
        <v>22023</v>
      </c>
      <c r="E130" s="20">
        <v>699776</v>
      </c>
      <c r="F130" s="20">
        <v>721042</v>
      </c>
      <c r="G130" s="29">
        <f>D130/F130</f>
        <v>3.0543297061752298E-2</v>
      </c>
      <c r="H130" s="20">
        <v>21331</v>
      </c>
      <c r="I130" s="25">
        <f>IFERROR(H130/F130,0)</f>
        <v>2.9583574881907018E-2</v>
      </c>
      <c r="J130" s="20">
        <v>13930</v>
      </c>
      <c r="K130" s="29">
        <f>IFERROR(J130/F130,0)</f>
        <v>1.9319262955555989E-2</v>
      </c>
      <c r="L130" s="178">
        <v>3.0776293197899707E-2</v>
      </c>
      <c r="M130" s="178">
        <v>2.3210853181922828E-2</v>
      </c>
      <c r="N130" s="178">
        <v>2.1230386024669853E-2</v>
      </c>
      <c r="O130" s="178">
        <v>1.9394154570746225E-2</v>
      </c>
      <c r="P130" s="17">
        <v>0</v>
      </c>
      <c r="Q130" s="17" t="s">
        <v>34</v>
      </c>
      <c r="R130" s="20">
        <v>10</v>
      </c>
      <c r="S130" s="20">
        <v>674</v>
      </c>
      <c r="T130" s="20">
        <v>8</v>
      </c>
      <c r="U130" s="20">
        <v>8999</v>
      </c>
      <c r="V130" s="22">
        <v>379.27237500000001</v>
      </c>
      <c r="W130" s="2"/>
      <c r="X130" s="2"/>
      <c r="Y130" s="6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2:34" ht="12.75" x14ac:dyDescent="0.2">
      <c r="B131" s="346" t="s">
        <v>126</v>
      </c>
      <c r="C131" s="347"/>
      <c r="D131" s="21">
        <f>SUM(D129:D130)</f>
        <v>39721</v>
      </c>
      <c r="E131" s="21">
        <f t="shared" ref="E131:F131" si="128">SUM(E129:E130)</f>
        <v>1118719</v>
      </c>
      <c r="F131" s="21">
        <f t="shared" si="128"/>
        <v>1311325</v>
      </c>
      <c r="G131" s="137">
        <f>AVERAGE(G129:G130)</f>
        <v>3.0262762962428472E-2</v>
      </c>
      <c r="H131" s="21">
        <f>SUM(H129:H130)</f>
        <v>38432</v>
      </c>
      <c r="I131" s="26">
        <f>IFERROR(AVERAGE(I129:I130),0)</f>
        <v>2.92772122287248E-2</v>
      </c>
      <c r="J131" s="21">
        <f>SUM(J129:J130)</f>
        <v>24872</v>
      </c>
      <c r="K131" s="26">
        <f>IFERROR(AVERAGE(K129:K130),0)</f>
        <v>1.8928067126441434E-2</v>
      </c>
      <c r="L131" s="26">
        <f t="shared" ref="L131:O131" si="129">IFERROR(AVERAGE(L129:L130),0)</f>
        <v>3.0477518984737689E-2</v>
      </c>
      <c r="M131" s="26">
        <f t="shared" si="129"/>
        <v>2.2866126966882793E-2</v>
      </c>
      <c r="N131" s="26">
        <f t="shared" si="129"/>
        <v>2.0849267176761145E-2</v>
      </c>
      <c r="O131" s="28">
        <f t="shared" si="129"/>
        <v>1.902311242445047E-2</v>
      </c>
      <c r="P131" s="21">
        <f t="shared" ref="P131" si="130">SUM(P129:P130)</f>
        <v>2</v>
      </c>
      <c r="Q131" s="21">
        <f>SUM(Q129:Q130)</f>
        <v>0</v>
      </c>
      <c r="R131" s="21">
        <f t="shared" ref="R131" si="131">SUM(R129:R130)</f>
        <v>11</v>
      </c>
      <c r="S131" s="21">
        <f>SUM(S129:S130)</f>
        <v>1264</v>
      </c>
      <c r="T131" s="21">
        <f t="shared" ref="T131:U131" si="132">SUM(T129:T130)</f>
        <v>14</v>
      </c>
      <c r="U131" s="21">
        <f t="shared" si="132"/>
        <v>15764</v>
      </c>
      <c r="V131" s="23">
        <f>SUM(V129:V130)</f>
        <v>758.54475000000002</v>
      </c>
      <c r="W131" s="2"/>
      <c r="X131" s="2"/>
      <c r="Y131" s="6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2:34" ht="12.75" x14ac:dyDescent="0.2">
      <c r="B132" s="348" t="str">
        <f>C45</f>
        <v>15 Oct</v>
      </c>
      <c r="C132" s="174" t="s">
        <v>124</v>
      </c>
      <c r="D132" s="20">
        <v>19038</v>
      </c>
      <c r="E132" s="20">
        <v>473333</v>
      </c>
      <c r="F132" s="20">
        <v>703405</v>
      </c>
      <c r="G132" s="29">
        <f>D132/F132</f>
        <v>2.706548858765576E-2</v>
      </c>
      <c r="H132" s="20">
        <v>18120</v>
      </c>
      <c r="I132" s="25">
        <f>IFERROR(H132/F132,0)</f>
        <v>2.5760408299628237E-2</v>
      </c>
      <c r="J132" s="20">
        <v>12340</v>
      </c>
      <c r="K132" s="29">
        <f>IFERROR(J132/F132,0)</f>
        <v>1.7543236115751239E-2</v>
      </c>
      <c r="L132" s="178">
        <v>5.6215124999111465E-2</v>
      </c>
      <c r="M132" s="178">
        <v>3.1708617368372417E-2</v>
      </c>
      <c r="N132" s="178">
        <v>2.308058657530157E-2</v>
      </c>
      <c r="O132" s="178">
        <v>1.8126115111493379E-2</v>
      </c>
      <c r="P132" s="17">
        <v>0</v>
      </c>
      <c r="Q132" s="17" t="s">
        <v>34</v>
      </c>
      <c r="R132" s="20">
        <v>5</v>
      </c>
      <c r="S132" s="20">
        <v>784</v>
      </c>
      <c r="T132" s="20">
        <v>10</v>
      </c>
      <c r="U132" s="20">
        <v>7010</v>
      </c>
      <c r="V132" s="22">
        <v>379.27237500000001</v>
      </c>
      <c r="W132" s="2"/>
      <c r="X132" s="2"/>
      <c r="Y132" s="6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2:34" ht="12.75" x14ac:dyDescent="0.2">
      <c r="B133" s="348"/>
      <c r="C133" s="174" t="s">
        <v>125</v>
      </c>
      <c r="D133" s="20">
        <v>23646</v>
      </c>
      <c r="E133" s="20">
        <v>667124</v>
      </c>
      <c r="F133" s="20">
        <v>1035440</v>
      </c>
      <c r="G133" s="29">
        <f>D133/F133</f>
        <v>2.2836668469442944E-2</v>
      </c>
      <c r="H133" s="20">
        <v>22764</v>
      </c>
      <c r="I133" s="25">
        <f>IFERROR(H133/F133,0)</f>
        <v>2.19848566792861E-2</v>
      </c>
      <c r="J133" s="20">
        <v>15604</v>
      </c>
      <c r="K133" s="29">
        <f>IFERROR(J133/F133,0)</f>
        <v>1.506992196554122E-2</v>
      </c>
      <c r="L133" s="178">
        <v>4.6617862937495168E-2</v>
      </c>
      <c r="M133" s="178">
        <v>2.6742254500502202E-2</v>
      </c>
      <c r="N133" s="178">
        <v>1.9640925596847717E-2</v>
      </c>
      <c r="O133" s="178">
        <v>1.5440778799351001E-2</v>
      </c>
      <c r="P133" s="17">
        <v>1</v>
      </c>
      <c r="Q133" s="17" t="s">
        <v>34</v>
      </c>
      <c r="R133" s="20">
        <v>4</v>
      </c>
      <c r="S133" s="20">
        <v>724</v>
      </c>
      <c r="T133" s="20">
        <v>1</v>
      </c>
      <c r="U133" s="20">
        <v>8905</v>
      </c>
      <c r="V133" s="22">
        <v>379.27237500000001</v>
      </c>
      <c r="W133" s="2"/>
      <c r="X133" s="2"/>
      <c r="Y133" s="6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2:34" ht="12.75" x14ac:dyDescent="0.2">
      <c r="B134" s="346" t="s">
        <v>126</v>
      </c>
      <c r="C134" s="347"/>
      <c r="D134" s="21">
        <f>SUM(D132:D133)</f>
        <v>42684</v>
      </c>
      <c r="E134" s="21">
        <f t="shared" ref="E134:F134" si="133">SUM(E132:E133)</f>
        <v>1140457</v>
      </c>
      <c r="F134" s="21">
        <f t="shared" si="133"/>
        <v>1738845</v>
      </c>
      <c r="G134" s="137">
        <f>AVERAGE(G132:G133)</f>
        <v>2.4951078528549352E-2</v>
      </c>
      <c r="H134" s="21">
        <f>SUM(H132:H133)</f>
        <v>40884</v>
      </c>
      <c r="I134" s="26">
        <f>IFERROR(AVERAGE(I132:I133),0)</f>
        <v>2.3872632489457167E-2</v>
      </c>
      <c r="J134" s="21">
        <f>SUM(J132:J133)</f>
        <v>27944</v>
      </c>
      <c r="K134" s="26">
        <f>IFERROR(AVERAGE(K132:K133),0)</f>
        <v>1.6306579040646231E-2</v>
      </c>
      <c r="L134" s="26">
        <f t="shared" ref="L134:O134" si="134">IFERROR(AVERAGE(L132:L133),0)</f>
        <v>5.141649396830332E-2</v>
      </c>
      <c r="M134" s="26">
        <f t="shared" si="134"/>
        <v>2.922543593443731E-2</v>
      </c>
      <c r="N134" s="26">
        <f t="shared" si="134"/>
        <v>2.1360756086074642E-2</v>
      </c>
      <c r="O134" s="28">
        <f t="shared" si="134"/>
        <v>1.678344695542219E-2</v>
      </c>
      <c r="P134" s="21">
        <f t="shared" ref="P134" si="135">SUM(P132:P133)</f>
        <v>1</v>
      </c>
      <c r="Q134" s="21">
        <f>SUM(Q132:Q133)</f>
        <v>0</v>
      </c>
      <c r="R134" s="21">
        <f t="shared" ref="R134" si="136">SUM(R132:R133)</f>
        <v>9</v>
      </c>
      <c r="S134" s="21">
        <f>SUM(S132:S133)</f>
        <v>1508</v>
      </c>
      <c r="T134" s="21">
        <f t="shared" ref="T134:U134" si="137">SUM(T132:T133)</f>
        <v>11</v>
      </c>
      <c r="U134" s="21">
        <f t="shared" si="137"/>
        <v>15915</v>
      </c>
      <c r="V134" s="23">
        <f>SUM(V132:V133)</f>
        <v>758.54475000000002</v>
      </c>
      <c r="W134" s="2"/>
      <c r="X134" s="2"/>
      <c r="Y134" s="6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2:34" ht="12.75" x14ac:dyDescent="0.2">
      <c r="B135" s="348" t="str">
        <f>C46</f>
        <v>24 Oct</v>
      </c>
      <c r="C135" s="174" t="s">
        <v>124</v>
      </c>
      <c r="D135" s="20">
        <v>14658</v>
      </c>
      <c r="E135" s="20">
        <v>347961</v>
      </c>
      <c r="F135" s="20">
        <v>662270</v>
      </c>
      <c r="G135" s="29">
        <f>D135/F135</f>
        <v>2.2132966916816404E-2</v>
      </c>
      <c r="H135" s="20">
        <v>14191</v>
      </c>
      <c r="I135" s="25">
        <f>IFERROR(H135/F135,0)</f>
        <v>2.1427816449484348E-2</v>
      </c>
      <c r="J135" s="20">
        <v>2515</v>
      </c>
      <c r="K135" s="27">
        <f>IFERROR(J135/F135,0)</f>
        <v>3.7975448080088182E-3</v>
      </c>
      <c r="L135" s="182">
        <v>5.6170444078699018E-3</v>
      </c>
      <c r="M135" s="182">
        <v>3.0033068084014073E-3</v>
      </c>
      <c r="N135" s="182">
        <v>1.843658930647621E-3</v>
      </c>
      <c r="O135" s="182">
        <v>1.1928669575852749E-3</v>
      </c>
      <c r="P135" s="17">
        <v>0</v>
      </c>
      <c r="Q135" s="17" t="s">
        <v>34</v>
      </c>
      <c r="R135" s="20">
        <v>3</v>
      </c>
      <c r="S135" s="20">
        <v>443</v>
      </c>
      <c r="T135" s="20">
        <v>21</v>
      </c>
      <c r="U135" s="20">
        <v>7925</v>
      </c>
      <c r="V135" s="22">
        <v>379.27237500000001</v>
      </c>
      <c r="W135" s="2"/>
      <c r="X135" s="2"/>
      <c r="Y135" s="6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2:34" ht="12.75" x14ac:dyDescent="0.2">
      <c r="B136" s="348"/>
      <c r="C136" s="174" t="s">
        <v>125</v>
      </c>
      <c r="D136" s="20">
        <v>14448</v>
      </c>
      <c r="E136" s="20">
        <v>507131</v>
      </c>
      <c r="F136" s="20">
        <v>854989</v>
      </c>
      <c r="G136" s="29">
        <f>D136/F136</f>
        <v>1.6898463021161676E-2</v>
      </c>
      <c r="H136" s="20">
        <v>13900</v>
      </c>
      <c r="I136" s="25">
        <f>IFERROR(H136/F136,0)</f>
        <v>1.6257519102584946E-2</v>
      </c>
      <c r="J136" s="20">
        <v>2750</v>
      </c>
      <c r="K136" s="27">
        <f>IFERROR(J136/F136,0)</f>
        <v>3.2164156497919857E-3</v>
      </c>
      <c r="L136" s="182">
        <v>4.6971364543871323E-3</v>
      </c>
      <c r="M136" s="182">
        <v>2.5590972515435869E-3</v>
      </c>
      <c r="N136" s="182">
        <v>1.6327695444034952E-3</v>
      </c>
      <c r="O136" s="182">
        <v>1.0479666989867706E-3</v>
      </c>
      <c r="P136" s="17">
        <v>1</v>
      </c>
      <c r="Q136" s="17" t="s">
        <v>34</v>
      </c>
      <c r="R136" s="20">
        <v>3</v>
      </c>
      <c r="S136" s="20">
        <v>518</v>
      </c>
      <c r="T136" s="20">
        <v>27</v>
      </c>
      <c r="U136" s="20">
        <v>10543</v>
      </c>
      <c r="V136" s="22">
        <v>379.27237500000001</v>
      </c>
      <c r="W136" s="2"/>
      <c r="X136" s="2"/>
      <c r="Y136" s="6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2:34" ht="12.75" x14ac:dyDescent="0.2">
      <c r="B137" s="346" t="s">
        <v>126</v>
      </c>
      <c r="C137" s="347"/>
      <c r="D137" s="21">
        <f>SUM(D135:D136)</f>
        <v>29106</v>
      </c>
      <c r="E137" s="21">
        <f t="shared" ref="E137:F137" si="138">SUM(E135:E136)</f>
        <v>855092</v>
      </c>
      <c r="F137" s="21">
        <f t="shared" si="138"/>
        <v>1517259</v>
      </c>
      <c r="G137" s="137">
        <f>AVERAGE(G135:G136)</f>
        <v>1.9515714968989038E-2</v>
      </c>
      <c r="H137" s="21">
        <f>SUM(H135:H136)</f>
        <v>28091</v>
      </c>
      <c r="I137" s="26">
        <f>IFERROR(AVERAGE(I135:I136),0)</f>
        <v>1.8842667776034647E-2</v>
      </c>
      <c r="J137" s="21">
        <f>SUM(J135:J136)</f>
        <v>5265</v>
      </c>
      <c r="K137" s="26">
        <f>IFERROR(AVERAGE(K135:K136),0)</f>
        <v>3.5069802289004019E-3</v>
      </c>
      <c r="L137" s="26">
        <f t="shared" ref="L137:O137" si="139">IFERROR(AVERAGE(L135:L136),0)</f>
        <v>5.157090431128517E-3</v>
      </c>
      <c r="M137" s="26">
        <f t="shared" si="139"/>
        <v>2.7812020299724971E-3</v>
      </c>
      <c r="N137" s="26">
        <f t="shared" si="139"/>
        <v>1.7382142375255581E-3</v>
      </c>
      <c r="O137" s="28">
        <f t="shared" si="139"/>
        <v>1.1204168282860226E-3</v>
      </c>
      <c r="P137" s="21">
        <f t="shared" ref="P137" si="140">SUM(P135:P136)</f>
        <v>1</v>
      </c>
      <c r="Q137" s="21">
        <f>SUM(Q135:Q136)</f>
        <v>0</v>
      </c>
      <c r="R137" s="21">
        <f t="shared" ref="R137" si="141">SUM(R135:R136)</f>
        <v>6</v>
      </c>
      <c r="S137" s="21">
        <f>SUM(S135:S136)</f>
        <v>961</v>
      </c>
      <c r="T137" s="21">
        <f t="shared" ref="T137:U137" si="142">SUM(T135:T136)</f>
        <v>48</v>
      </c>
      <c r="U137" s="21">
        <f t="shared" si="142"/>
        <v>18468</v>
      </c>
      <c r="V137" s="23">
        <f>SUM(V135:V136)</f>
        <v>758.54475000000002</v>
      </c>
      <c r="W137" s="2"/>
      <c r="X137" s="2"/>
      <c r="Y137" s="6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2:34" ht="12.75" hidden="1" x14ac:dyDescent="0.2">
      <c r="B138" s="348" t="str">
        <f>C47</f>
        <v>30 Oct</v>
      </c>
      <c r="C138" s="174" t="s">
        <v>124</v>
      </c>
      <c r="D138" s="20">
        <v>4744</v>
      </c>
      <c r="E138" s="20">
        <v>155743</v>
      </c>
      <c r="F138" s="20">
        <v>160124</v>
      </c>
      <c r="G138" s="29">
        <f>D138/F138</f>
        <v>2.9627039044740327E-2</v>
      </c>
      <c r="H138" s="20">
        <v>4495</v>
      </c>
      <c r="I138" s="25">
        <f>IFERROR(H138/F138,0)</f>
        <v>2.807199420449152E-2</v>
      </c>
      <c r="J138" s="20">
        <v>3020</v>
      </c>
      <c r="K138" s="29">
        <f>IFERROR(J138/F138,0)</f>
        <v>1.886038320301766E-2</v>
      </c>
      <c r="L138" s="178">
        <v>6.1602258249856365E-2</v>
      </c>
      <c r="M138" s="178">
        <v>3.4735579925557696E-2</v>
      </c>
      <c r="N138" s="178">
        <v>2.5180485124028876E-2</v>
      </c>
      <c r="O138" s="178">
        <v>1.9616047563138568E-2</v>
      </c>
      <c r="P138" s="17">
        <v>0</v>
      </c>
      <c r="Q138" s="17" t="s">
        <v>34</v>
      </c>
      <c r="R138" s="20">
        <v>3</v>
      </c>
      <c r="S138" s="20">
        <v>220</v>
      </c>
      <c r="T138" s="20">
        <v>1</v>
      </c>
      <c r="U138" s="20">
        <v>1656</v>
      </c>
      <c r="V138" s="22">
        <f>63.8*1.41</f>
        <v>89.957999999999984</v>
      </c>
      <c r="W138" s="2"/>
      <c r="X138" s="2"/>
      <c r="Y138" s="6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2:34" ht="12.75" hidden="1" x14ac:dyDescent="0.2">
      <c r="B139" s="348"/>
      <c r="C139" s="174" t="s">
        <v>125</v>
      </c>
      <c r="D139" s="20">
        <v>6390</v>
      </c>
      <c r="E139" s="20">
        <v>265983</v>
      </c>
      <c r="F139" s="20">
        <v>273689</v>
      </c>
      <c r="G139" s="29">
        <f>D139/F139</f>
        <v>2.3347668338880991E-2</v>
      </c>
      <c r="H139" s="20">
        <v>6130</v>
      </c>
      <c r="I139" s="25">
        <f>IFERROR(H139/F139,0)</f>
        <v>2.2397684963590059E-2</v>
      </c>
      <c r="J139" s="20">
        <v>4258</v>
      </c>
      <c r="K139" s="29">
        <f>IFERROR(J139/F139,0)</f>
        <v>1.5557804661495346E-2</v>
      </c>
      <c r="L139" s="178">
        <v>4.6702644242187299E-2</v>
      </c>
      <c r="M139" s="178">
        <v>2.7016065680389056E-2</v>
      </c>
      <c r="N139" s="178">
        <v>2.0000803832086786E-2</v>
      </c>
      <c r="O139" s="178">
        <v>1.5806261851956053E-2</v>
      </c>
      <c r="P139" s="17">
        <v>1</v>
      </c>
      <c r="Q139" s="17" t="s">
        <v>34</v>
      </c>
      <c r="R139" s="20">
        <v>1</v>
      </c>
      <c r="S139" s="20">
        <v>225</v>
      </c>
      <c r="T139" s="20">
        <v>0</v>
      </c>
      <c r="U139" s="20">
        <v>2317</v>
      </c>
      <c r="V139" s="22">
        <f>63.8*1.41</f>
        <v>89.957999999999984</v>
      </c>
      <c r="W139" s="2"/>
      <c r="X139" s="2"/>
      <c r="Y139" s="6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2:34" ht="12.75" hidden="1" x14ac:dyDescent="0.2">
      <c r="B140" s="346" t="s">
        <v>126</v>
      </c>
      <c r="C140" s="347"/>
      <c r="D140" s="21">
        <f>SUM(D138:D139)</f>
        <v>11134</v>
      </c>
      <c r="E140" s="21">
        <f t="shared" ref="E140:F140" si="143">SUM(E138:E139)</f>
        <v>421726</v>
      </c>
      <c r="F140" s="21">
        <f t="shared" si="143"/>
        <v>433813</v>
      </c>
      <c r="G140" s="137">
        <f>AVERAGE(G138:G139)</f>
        <v>2.6487353691810659E-2</v>
      </c>
      <c r="H140" s="21">
        <f>SUM(H138:H139)</f>
        <v>10625</v>
      </c>
      <c r="I140" s="26">
        <f>IFERROR(AVERAGE(I138:I139),0)</f>
        <v>2.523483958404079E-2</v>
      </c>
      <c r="J140" s="21">
        <f>SUM(J138:J139)</f>
        <v>7278</v>
      </c>
      <c r="K140" s="26">
        <f>IFERROR(AVERAGE(K138:K139),0)</f>
        <v>1.7209093932256503E-2</v>
      </c>
      <c r="L140" s="26">
        <f t="shared" ref="L140:O140" si="144">IFERROR(AVERAGE(L138:L139),0)</f>
        <v>5.4152451246021832E-2</v>
      </c>
      <c r="M140" s="26">
        <f t="shared" si="144"/>
        <v>3.0875822802973376E-2</v>
      </c>
      <c r="N140" s="26">
        <f t="shared" si="144"/>
        <v>2.2590644478057829E-2</v>
      </c>
      <c r="O140" s="28">
        <f t="shared" si="144"/>
        <v>1.7711154707547312E-2</v>
      </c>
      <c r="P140" s="21">
        <f t="shared" ref="P140" si="145">SUM(P138:P139)</f>
        <v>1</v>
      </c>
      <c r="Q140" s="21">
        <f>SUM(Q138:Q139)</f>
        <v>0</v>
      </c>
      <c r="R140" s="21">
        <f t="shared" ref="R140" si="146">SUM(R138:R139)</f>
        <v>4</v>
      </c>
      <c r="S140" s="21">
        <f>SUM(S138:S139)</f>
        <v>445</v>
      </c>
      <c r="T140" s="21">
        <f t="shared" ref="T140:U140" si="147">SUM(T138:T139)</f>
        <v>1</v>
      </c>
      <c r="U140" s="21">
        <f t="shared" si="147"/>
        <v>3973</v>
      </c>
      <c r="V140" s="23">
        <f>SUM(V138:V139)</f>
        <v>179.91599999999997</v>
      </c>
      <c r="W140" s="2"/>
      <c r="X140" s="2"/>
      <c r="Y140" s="6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2:34" ht="12.75" x14ac:dyDescent="0.2">
      <c r="B141" s="348" t="str">
        <f>C47</f>
        <v>30 Oct</v>
      </c>
      <c r="C141" s="174" t="s">
        <v>124</v>
      </c>
      <c r="D141" s="20">
        <v>23620</v>
      </c>
      <c r="E141" s="20">
        <v>365056</v>
      </c>
      <c r="F141" s="20">
        <v>513907</v>
      </c>
      <c r="G141" s="29">
        <f>D141/F141</f>
        <v>4.5961623406569674E-2</v>
      </c>
      <c r="H141" s="20" t="s">
        <v>34</v>
      </c>
      <c r="I141" s="25">
        <f>IFERROR(H141/F141,0)</f>
        <v>0</v>
      </c>
      <c r="J141" s="20" t="s">
        <v>34</v>
      </c>
      <c r="K141" s="29">
        <f>IFERROR(J141/F141,0)</f>
        <v>0</v>
      </c>
      <c r="L141" s="20" t="s">
        <v>34</v>
      </c>
      <c r="M141" s="20" t="s">
        <v>34</v>
      </c>
      <c r="N141" s="20" t="s">
        <v>34</v>
      </c>
      <c r="O141" s="20" t="s">
        <v>34</v>
      </c>
      <c r="P141" s="17">
        <v>1</v>
      </c>
      <c r="Q141" s="17" t="s">
        <v>34</v>
      </c>
      <c r="R141" s="20">
        <v>5</v>
      </c>
      <c r="S141" s="20">
        <v>602</v>
      </c>
      <c r="T141" s="20">
        <v>4</v>
      </c>
      <c r="U141" s="20">
        <v>3981</v>
      </c>
      <c r="V141" s="22">
        <v>379.27237500000001</v>
      </c>
      <c r="W141" s="2"/>
      <c r="X141" s="2"/>
      <c r="Y141" s="6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2:34" ht="12.75" x14ac:dyDescent="0.2">
      <c r="B142" s="348"/>
      <c r="C142" s="174" t="s">
        <v>125</v>
      </c>
      <c r="D142" s="20">
        <v>22175</v>
      </c>
      <c r="E142" s="20">
        <v>377983</v>
      </c>
      <c r="F142" s="20">
        <v>488649</v>
      </c>
      <c r="G142" s="29">
        <f>D142/F142</f>
        <v>4.5380221795194506E-2</v>
      </c>
      <c r="H142" s="20" t="s">
        <v>34</v>
      </c>
      <c r="I142" s="25">
        <f>IFERROR(H142/F142,0)</f>
        <v>0</v>
      </c>
      <c r="J142" s="20" t="s">
        <v>34</v>
      </c>
      <c r="K142" s="29">
        <f>IFERROR(J142/F142,0)</f>
        <v>0</v>
      </c>
      <c r="L142" s="20" t="s">
        <v>34</v>
      </c>
      <c r="M142" s="20" t="s">
        <v>34</v>
      </c>
      <c r="N142" s="20" t="s">
        <v>34</v>
      </c>
      <c r="O142" s="20" t="s">
        <v>34</v>
      </c>
      <c r="P142" s="17">
        <v>0</v>
      </c>
      <c r="Q142" s="17" t="s">
        <v>34</v>
      </c>
      <c r="R142" s="20">
        <v>5</v>
      </c>
      <c r="S142" s="20">
        <v>589</v>
      </c>
      <c r="T142" s="20">
        <v>3</v>
      </c>
      <c r="U142" s="20">
        <v>3701</v>
      </c>
      <c r="V142" s="22">
        <v>379.27237500000001</v>
      </c>
      <c r="W142" s="2"/>
      <c r="X142" s="2"/>
      <c r="Y142" s="6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2:34" ht="12.75" x14ac:dyDescent="0.2">
      <c r="B143" s="346" t="s">
        <v>126</v>
      </c>
      <c r="C143" s="347"/>
      <c r="D143" s="21">
        <f>SUM(D141:D142)</f>
        <v>45795</v>
      </c>
      <c r="E143" s="21">
        <f t="shared" ref="E143:F143" si="148">SUM(E141:E142)</f>
        <v>743039</v>
      </c>
      <c r="F143" s="21">
        <f t="shared" si="148"/>
        <v>1002556</v>
      </c>
      <c r="G143" s="137">
        <f>AVERAGE(G141:G142)</f>
        <v>4.567092260088209E-2</v>
      </c>
      <c r="H143" s="21">
        <f>SUM(H141:H142)</f>
        <v>0</v>
      </c>
      <c r="I143" s="26">
        <f>IFERROR(AVERAGE(I141:I142),0)</f>
        <v>0</v>
      </c>
      <c r="J143" s="21">
        <f>SUM(J141:J142)</f>
        <v>0</v>
      </c>
      <c r="K143" s="26">
        <f>IFERROR(AVERAGE(K141:K142),0)</f>
        <v>0</v>
      </c>
      <c r="L143" s="26">
        <f t="shared" ref="L143:O143" si="149">IFERROR(AVERAGE(L141:L142),0)</f>
        <v>0</v>
      </c>
      <c r="M143" s="26">
        <f t="shared" si="149"/>
        <v>0</v>
      </c>
      <c r="N143" s="26">
        <f t="shared" si="149"/>
        <v>0</v>
      </c>
      <c r="O143" s="28">
        <f t="shared" si="149"/>
        <v>0</v>
      </c>
      <c r="P143" s="21">
        <f t="shared" ref="P143" si="150">SUM(P141:P142)</f>
        <v>1</v>
      </c>
      <c r="Q143" s="21">
        <f>SUM(Q141:Q142)</f>
        <v>0</v>
      </c>
      <c r="R143" s="21">
        <f t="shared" ref="R143" si="151">SUM(R141:R142)</f>
        <v>10</v>
      </c>
      <c r="S143" s="21">
        <f>SUM(S141:S142)</f>
        <v>1191</v>
      </c>
      <c r="T143" s="21">
        <f t="shared" ref="T143:U143" si="152">SUM(T141:T142)</f>
        <v>7</v>
      </c>
      <c r="U143" s="21">
        <f t="shared" si="152"/>
        <v>7682</v>
      </c>
      <c r="V143" s="23">
        <f>SUM(V141:V142)</f>
        <v>758.54475000000002</v>
      </c>
      <c r="W143" s="2"/>
      <c r="X143" s="2"/>
      <c r="Y143" s="6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2:34" ht="12.75" x14ac:dyDescent="0.2">
      <c r="B144" s="348" t="str">
        <f>C48</f>
        <v>14 Nov</v>
      </c>
      <c r="C144" s="174" t="s">
        <v>124</v>
      </c>
      <c r="D144" s="20">
        <v>2511</v>
      </c>
      <c r="E144" s="20">
        <v>368875</v>
      </c>
      <c r="F144" s="20">
        <v>470255</v>
      </c>
      <c r="G144" s="29">
        <f>D144/F144</f>
        <v>5.3396561440069747E-3</v>
      </c>
      <c r="H144" s="20" t="s">
        <v>34</v>
      </c>
      <c r="I144" s="25">
        <f>IFERROR(H144/F144,0)</f>
        <v>0</v>
      </c>
      <c r="J144" s="20" t="s">
        <v>34</v>
      </c>
      <c r="K144" s="29">
        <f>IFERROR(J144/F144,0)</f>
        <v>0</v>
      </c>
      <c r="L144" s="20" t="s">
        <v>34</v>
      </c>
      <c r="M144" s="20" t="s">
        <v>34</v>
      </c>
      <c r="N144" s="20" t="s">
        <v>34</v>
      </c>
      <c r="O144" s="20" t="s">
        <v>34</v>
      </c>
      <c r="P144" s="17" t="s">
        <v>34</v>
      </c>
      <c r="Q144" s="17">
        <v>1143</v>
      </c>
      <c r="R144" s="20">
        <v>4</v>
      </c>
      <c r="S144" s="20">
        <v>1358</v>
      </c>
      <c r="T144" s="20">
        <v>6</v>
      </c>
      <c r="U144" s="20">
        <v>3604</v>
      </c>
      <c r="V144" s="22">
        <v>379.27237500000001</v>
      </c>
      <c r="W144" s="2"/>
      <c r="X144" s="2"/>
      <c r="Y144" s="6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2:34" ht="12.75" x14ac:dyDescent="0.2">
      <c r="B145" s="348"/>
      <c r="C145" s="174" t="s">
        <v>125</v>
      </c>
      <c r="D145" s="20">
        <v>2814</v>
      </c>
      <c r="E145" s="20">
        <v>316459</v>
      </c>
      <c r="F145" s="20">
        <v>418084</v>
      </c>
      <c r="G145" s="29">
        <f>D145/F145</f>
        <v>6.7307048344351856E-3</v>
      </c>
      <c r="H145" s="20" t="s">
        <v>34</v>
      </c>
      <c r="I145" s="25">
        <f>IFERROR(H145/F145,0)</f>
        <v>0</v>
      </c>
      <c r="J145" s="20" t="s">
        <v>34</v>
      </c>
      <c r="K145" s="29">
        <f>IFERROR(J145/F145,0)</f>
        <v>0</v>
      </c>
      <c r="L145" s="20" t="s">
        <v>34</v>
      </c>
      <c r="M145" s="20" t="s">
        <v>34</v>
      </c>
      <c r="N145" s="20" t="s">
        <v>34</v>
      </c>
      <c r="O145" s="20" t="s">
        <v>34</v>
      </c>
      <c r="P145" s="17" t="s">
        <v>34</v>
      </c>
      <c r="Q145" s="17">
        <v>1135</v>
      </c>
      <c r="R145" s="20"/>
      <c r="S145" s="20">
        <v>1675</v>
      </c>
      <c r="T145" s="20">
        <v>4</v>
      </c>
      <c r="U145" s="20">
        <v>3773</v>
      </c>
      <c r="V145" s="22">
        <v>379.27237500000001</v>
      </c>
      <c r="W145" s="2"/>
      <c r="X145" s="2"/>
      <c r="Y145" s="6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2:34" ht="12.75" x14ac:dyDescent="0.2">
      <c r="B146" s="346" t="s">
        <v>126</v>
      </c>
      <c r="C146" s="347"/>
      <c r="D146" s="21">
        <f>SUM(D144:D145)</f>
        <v>5325</v>
      </c>
      <c r="E146" s="21">
        <f t="shared" ref="E146:F146" si="153">SUM(E144:E145)</f>
        <v>685334</v>
      </c>
      <c r="F146" s="21">
        <f t="shared" si="153"/>
        <v>888339</v>
      </c>
      <c r="G146" s="137">
        <f>AVERAGE(G144:G145)</f>
        <v>6.0351804892210797E-3</v>
      </c>
      <c r="H146" s="21">
        <f>SUM(H144:H145)</f>
        <v>0</v>
      </c>
      <c r="I146" s="26">
        <f>IFERROR(AVERAGE(I144:I145),0)</f>
        <v>0</v>
      </c>
      <c r="J146" s="21">
        <f>SUM(J144:J145)</f>
        <v>0</v>
      </c>
      <c r="K146" s="26">
        <f>IFERROR(AVERAGE(K144:K145),0)</f>
        <v>0</v>
      </c>
      <c r="L146" s="26">
        <f t="shared" ref="L146:O146" si="154">IFERROR(AVERAGE(L144:L145),0)</f>
        <v>0</v>
      </c>
      <c r="M146" s="26">
        <f t="shared" si="154"/>
        <v>0</v>
      </c>
      <c r="N146" s="26">
        <f t="shared" si="154"/>
        <v>0</v>
      </c>
      <c r="O146" s="28">
        <f t="shared" si="154"/>
        <v>0</v>
      </c>
      <c r="P146" s="21">
        <f t="shared" ref="P146" si="155">SUM(P144:P145)</f>
        <v>0</v>
      </c>
      <c r="Q146" s="21">
        <f>SUM(Q144:Q145)</f>
        <v>2278</v>
      </c>
      <c r="R146" s="21">
        <f t="shared" ref="R146" si="156">SUM(R144:R145)</f>
        <v>4</v>
      </c>
      <c r="S146" s="21">
        <f>SUM(S144:S145)</f>
        <v>3033</v>
      </c>
      <c r="T146" s="21">
        <f t="shared" ref="T146:U146" si="157">SUM(T144:T145)</f>
        <v>10</v>
      </c>
      <c r="U146" s="21">
        <f t="shared" si="157"/>
        <v>7377</v>
      </c>
      <c r="V146" s="23">
        <f>SUM(V144:V145)</f>
        <v>758.54475000000002</v>
      </c>
      <c r="W146" s="2"/>
      <c r="X146" s="2"/>
      <c r="Y146" s="6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2:34" ht="12.75" x14ac:dyDescent="0.2">
      <c r="B147" s="348" t="str">
        <f>C49</f>
        <v>22 Nov</v>
      </c>
      <c r="C147" s="174" t="s">
        <v>124</v>
      </c>
      <c r="D147" s="20">
        <v>7382</v>
      </c>
      <c r="E147" s="20">
        <v>375150</v>
      </c>
      <c r="F147" s="20">
        <v>581994</v>
      </c>
      <c r="G147" s="29">
        <f>D147/F147</f>
        <v>1.2683979559926735E-2</v>
      </c>
      <c r="H147" s="20">
        <v>6610</v>
      </c>
      <c r="I147" s="25">
        <f>IFERROR(H147/F147,0)</f>
        <v>1.1357505403835778E-2</v>
      </c>
      <c r="J147" s="20">
        <v>2760</v>
      </c>
      <c r="K147" s="27">
        <f>IFERROR(J147/F147,0)</f>
        <v>4.7423169311023826E-3</v>
      </c>
      <c r="L147" s="182">
        <v>1.9871338879782267E-2</v>
      </c>
      <c r="M147" s="182">
        <v>9.4777609391162101E-3</v>
      </c>
      <c r="N147" s="182">
        <v>6.4811664725065894E-3</v>
      </c>
      <c r="O147" s="182">
        <v>4.7371622387859672E-3</v>
      </c>
      <c r="P147" s="17">
        <v>0</v>
      </c>
      <c r="Q147" s="17" t="s">
        <v>34</v>
      </c>
      <c r="R147" s="20">
        <v>0</v>
      </c>
      <c r="S147" s="20">
        <v>769</v>
      </c>
      <c r="T147" s="20">
        <v>3</v>
      </c>
      <c r="U147" s="20">
        <v>3604</v>
      </c>
      <c r="V147" s="22">
        <v>379.27237500000001</v>
      </c>
      <c r="W147" s="2"/>
      <c r="X147" s="2"/>
      <c r="Y147" s="6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2:34" ht="12.75" x14ac:dyDescent="0.2">
      <c r="B148" s="348"/>
      <c r="C148" s="174" t="s">
        <v>125</v>
      </c>
      <c r="D148" s="20">
        <v>7982</v>
      </c>
      <c r="E148" s="20">
        <v>469486</v>
      </c>
      <c r="F148" s="20">
        <v>767102</v>
      </c>
      <c r="G148" s="29">
        <f>D148/F148</f>
        <v>1.0405395892593162E-2</v>
      </c>
      <c r="H148" s="20">
        <v>7272</v>
      </c>
      <c r="I148" s="25">
        <f>IFERROR(H148/F148,0)</f>
        <v>9.479834493978637E-3</v>
      </c>
      <c r="J148" s="20">
        <v>3077</v>
      </c>
      <c r="K148" s="27">
        <f>IFERROR(J148/F148,0)</f>
        <v>4.0112005965308398E-3</v>
      </c>
      <c r="L148" s="182">
        <v>1.5747579852483765E-2</v>
      </c>
      <c r="M148" s="182">
        <v>7.9702568889143816E-3</v>
      </c>
      <c r="N148" s="182">
        <v>5.4243112389225946E-3</v>
      </c>
      <c r="O148" s="182">
        <v>3.9903428748719206E-3</v>
      </c>
      <c r="P148" s="17">
        <v>0</v>
      </c>
      <c r="Q148" s="17" t="s">
        <v>34</v>
      </c>
      <c r="R148" s="20">
        <v>0</v>
      </c>
      <c r="S148" s="20">
        <v>708</v>
      </c>
      <c r="T148" s="20">
        <v>2</v>
      </c>
      <c r="U148" s="20">
        <v>3773</v>
      </c>
      <c r="V148" s="22">
        <v>379.27237500000001</v>
      </c>
      <c r="W148" s="2"/>
      <c r="X148" s="2"/>
      <c r="Y148" s="6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2:34" ht="12.75" x14ac:dyDescent="0.2">
      <c r="B149" s="346" t="s">
        <v>126</v>
      </c>
      <c r="C149" s="347"/>
      <c r="D149" s="21">
        <f>SUM(D147:D148)</f>
        <v>15364</v>
      </c>
      <c r="E149" s="21">
        <f t="shared" ref="E149:F149" si="158">SUM(E147:E148)</f>
        <v>844636</v>
      </c>
      <c r="F149" s="21">
        <f t="shared" si="158"/>
        <v>1349096</v>
      </c>
      <c r="G149" s="137">
        <f>AVERAGE(G147:G148)</f>
        <v>1.1544687726259949E-2</v>
      </c>
      <c r="H149" s="21">
        <f>SUM(H147:H148)</f>
        <v>13882</v>
      </c>
      <c r="I149" s="26">
        <f>IFERROR(AVERAGE(I147:I148),0)</f>
        <v>1.0418669948907208E-2</v>
      </c>
      <c r="J149" s="21">
        <f>SUM(J147:J148)</f>
        <v>5837</v>
      </c>
      <c r="K149" s="26">
        <f>IFERROR(AVERAGE(K147:K148),0)</f>
        <v>4.3767587638166112E-3</v>
      </c>
      <c r="L149" s="26">
        <f t="shared" ref="L149:O149" si="159">IFERROR(AVERAGE(L147:L148),0)</f>
        <v>1.7809459366133016E-2</v>
      </c>
      <c r="M149" s="26">
        <f t="shared" si="159"/>
        <v>8.7240089140152959E-3</v>
      </c>
      <c r="N149" s="26">
        <f t="shared" si="159"/>
        <v>5.952738855714592E-3</v>
      </c>
      <c r="O149" s="28">
        <f t="shared" si="159"/>
        <v>4.3637525568289443E-3</v>
      </c>
      <c r="P149" s="21">
        <f t="shared" ref="P149" si="160">SUM(P147:P148)</f>
        <v>0</v>
      </c>
      <c r="Q149" s="21">
        <f>SUM(Q147:Q148)</f>
        <v>0</v>
      </c>
      <c r="R149" s="21">
        <f t="shared" ref="R149" si="161">SUM(R147:R148)</f>
        <v>0</v>
      </c>
      <c r="S149" s="21">
        <f>SUM(S147:S148)</f>
        <v>1477</v>
      </c>
      <c r="T149" s="21">
        <f t="shared" ref="T149:U149" si="162">SUM(T147:T148)</f>
        <v>5</v>
      </c>
      <c r="U149" s="21">
        <f t="shared" si="162"/>
        <v>7377</v>
      </c>
      <c r="V149" s="23">
        <f>SUM(V147:V148)</f>
        <v>758.54475000000002</v>
      </c>
      <c r="W149" s="2"/>
      <c r="X149" s="2"/>
      <c r="Y149" s="6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2:34" ht="12.75" x14ac:dyDescent="0.2">
      <c r="B150" s="348" t="str">
        <f>C50</f>
        <v>23 Nov</v>
      </c>
      <c r="C150" s="174" t="s">
        <v>124</v>
      </c>
      <c r="D150" s="20">
        <v>4390</v>
      </c>
      <c r="E150" s="20">
        <v>347635</v>
      </c>
      <c r="F150" s="20">
        <v>534456</v>
      </c>
      <c r="G150" s="29">
        <f>D150/F150</f>
        <v>8.2139596150104036E-3</v>
      </c>
      <c r="H150" s="20" t="s">
        <v>34</v>
      </c>
      <c r="I150" s="25">
        <f>IFERROR(H150/F150,0)</f>
        <v>0</v>
      </c>
      <c r="J150" s="20" t="s">
        <v>34</v>
      </c>
      <c r="K150" s="29">
        <f>IFERROR(J150/F150,0)</f>
        <v>0</v>
      </c>
      <c r="L150" s="20" t="s">
        <v>34</v>
      </c>
      <c r="M150" s="20" t="s">
        <v>34</v>
      </c>
      <c r="N150" s="20" t="s">
        <v>34</v>
      </c>
      <c r="O150" s="20" t="s">
        <v>34</v>
      </c>
      <c r="P150" s="17" t="s">
        <v>34</v>
      </c>
      <c r="Q150" s="17">
        <v>3084</v>
      </c>
      <c r="R150" s="20">
        <v>2</v>
      </c>
      <c r="S150" s="20">
        <v>1265</v>
      </c>
      <c r="T150" s="20">
        <v>26</v>
      </c>
      <c r="U150" s="20">
        <v>5224</v>
      </c>
      <c r="V150" s="22">
        <v>379.27237500000001</v>
      </c>
      <c r="W150" s="2"/>
      <c r="X150" s="2"/>
      <c r="Y150" s="6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2:34" ht="12.75" x14ac:dyDescent="0.2">
      <c r="B151" s="348"/>
      <c r="C151" s="174" t="s">
        <v>125</v>
      </c>
      <c r="D151" s="20">
        <v>3000</v>
      </c>
      <c r="E151" s="20">
        <v>212595</v>
      </c>
      <c r="F151" s="20">
        <v>366402</v>
      </c>
      <c r="G151" s="29">
        <f>D151/F151</f>
        <v>8.1877282329244922E-3</v>
      </c>
      <c r="H151" s="20" t="s">
        <v>34</v>
      </c>
      <c r="I151" s="25">
        <f>IFERROR(H151/F151,0)</f>
        <v>0</v>
      </c>
      <c r="J151" s="20" t="s">
        <v>34</v>
      </c>
      <c r="K151" s="29">
        <f>IFERROR(J151/F151,0)</f>
        <v>0</v>
      </c>
      <c r="L151" s="20" t="s">
        <v>34</v>
      </c>
      <c r="M151" s="20" t="s">
        <v>34</v>
      </c>
      <c r="N151" s="20" t="s">
        <v>34</v>
      </c>
      <c r="O151" s="20" t="s">
        <v>34</v>
      </c>
      <c r="P151" s="17" t="s">
        <v>34</v>
      </c>
      <c r="Q151" s="17">
        <v>1888</v>
      </c>
      <c r="R151" s="20">
        <v>1</v>
      </c>
      <c r="S151" s="20">
        <v>1073</v>
      </c>
      <c r="T151" s="20">
        <v>24</v>
      </c>
      <c r="U151" s="20">
        <v>3739</v>
      </c>
      <c r="V151" s="22">
        <v>379.27237500000001</v>
      </c>
      <c r="W151" s="2"/>
      <c r="X151" s="2"/>
      <c r="Y151" s="6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2:34" ht="12.75" x14ac:dyDescent="0.2">
      <c r="B152" s="346" t="s">
        <v>126</v>
      </c>
      <c r="C152" s="347"/>
      <c r="D152" s="21">
        <f>SUM(D150:D151)</f>
        <v>7390</v>
      </c>
      <c r="E152" s="21">
        <f t="shared" ref="E152:F152" si="163">SUM(E150:E151)</f>
        <v>560230</v>
      </c>
      <c r="F152" s="21">
        <f t="shared" si="163"/>
        <v>900858</v>
      </c>
      <c r="G152" s="137">
        <f>AVERAGE(G150:G151)</f>
        <v>8.200843923967447E-3</v>
      </c>
      <c r="H152" s="21">
        <f>SUM(H150:H151)</f>
        <v>0</v>
      </c>
      <c r="I152" s="26">
        <f>IFERROR(AVERAGE(I150:I151),0)</f>
        <v>0</v>
      </c>
      <c r="J152" s="21">
        <f>SUM(J150:J151)</f>
        <v>0</v>
      </c>
      <c r="K152" s="26">
        <f>IFERROR(AVERAGE(K150:K151),0)</f>
        <v>0</v>
      </c>
      <c r="L152" s="26">
        <f t="shared" ref="L152:O152" si="164">IFERROR(AVERAGE(L150:L151),0)</f>
        <v>0</v>
      </c>
      <c r="M152" s="26">
        <f t="shared" si="164"/>
        <v>0</v>
      </c>
      <c r="N152" s="26">
        <f t="shared" si="164"/>
        <v>0</v>
      </c>
      <c r="O152" s="28">
        <f t="shared" si="164"/>
        <v>0</v>
      </c>
      <c r="P152" s="21">
        <f t="shared" ref="P152" si="165">SUM(P150:P151)</f>
        <v>0</v>
      </c>
      <c r="Q152" s="21">
        <f>SUM(Q150:Q151)</f>
        <v>4972</v>
      </c>
      <c r="R152" s="21">
        <f t="shared" ref="R152" si="166">SUM(R150:R151)</f>
        <v>3</v>
      </c>
      <c r="S152" s="21">
        <f>SUM(S150:S151)</f>
        <v>2338</v>
      </c>
      <c r="T152" s="21">
        <f t="shared" ref="T152:U152" si="167">SUM(T150:T151)</f>
        <v>50</v>
      </c>
      <c r="U152" s="21">
        <f t="shared" si="167"/>
        <v>8963</v>
      </c>
      <c r="V152" s="23">
        <f>SUM(V150:V151)</f>
        <v>758.54475000000002</v>
      </c>
      <c r="W152" s="2"/>
      <c r="X152" s="2"/>
      <c r="Y152" s="6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2:34" ht="12.75" x14ac:dyDescent="0.2">
      <c r="B153" s="348" t="str">
        <f>C51</f>
        <v>5 Dec</v>
      </c>
      <c r="C153" s="174" t="s">
        <v>124</v>
      </c>
      <c r="D153" s="20">
        <v>7088</v>
      </c>
      <c r="E153" s="20">
        <v>217018</v>
      </c>
      <c r="F153" s="20">
        <v>429180</v>
      </c>
      <c r="G153" s="29">
        <f>D153/F153</f>
        <v>1.6515215061279651E-2</v>
      </c>
      <c r="H153" s="20">
        <v>6533</v>
      </c>
      <c r="I153" s="25">
        <f>IFERROR(H153/F153,0)</f>
        <v>1.522205135374435E-2</v>
      </c>
      <c r="J153" s="20">
        <v>1571</v>
      </c>
      <c r="K153" s="27">
        <f>IFERROR(J153/F153,0)</f>
        <v>3.6604688009692901E-3</v>
      </c>
      <c r="L153" s="182">
        <v>1.664569644438231E-2</v>
      </c>
      <c r="M153" s="182">
        <v>7.5888904422386876E-3</v>
      </c>
      <c r="N153" s="182">
        <v>4.7392702362645048E-3</v>
      </c>
      <c r="O153" s="182">
        <v>3.6161983317023159E-3</v>
      </c>
      <c r="P153" s="17">
        <v>0</v>
      </c>
      <c r="Q153" s="17" t="s">
        <v>34</v>
      </c>
      <c r="R153" s="20">
        <v>3</v>
      </c>
      <c r="S153" s="20">
        <v>551</v>
      </c>
      <c r="T153" s="20">
        <v>1</v>
      </c>
      <c r="U153" s="20">
        <v>3117</v>
      </c>
      <c r="V153" s="22">
        <v>379.27237500000001</v>
      </c>
      <c r="W153" s="2"/>
      <c r="X153" s="2"/>
      <c r="Y153" s="6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2:34" ht="12.75" x14ac:dyDescent="0.2">
      <c r="B154" s="348"/>
      <c r="C154" s="174" t="s">
        <v>125</v>
      </c>
      <c r="D154" s="20">
        <v>8340</v>
      </c>
      <c r="E154" s="20">
        <v>410229</v>
      </c>
      <c r="F154" s="20">
        <v>680069</v>
      </c>
      <c r="G154" s="29">
        <f>D154/F154</f>
        <v>1.2263461501700563E-2</v>
      </c>
      <c r="H154" s="20">
        <v>7686</v>
      </c>
      <c r="I154" s="25">
        <f>IFERROR(H154/F154,0)</f>
        <v>1.1301794376747065E-2</v>
      </c>
      <c r="J154" s="20">
        <v>2020</v>
      </c>
      <c r="K154" s="27">
        <f>IFERROR(J154/F154,0)</f>
        <v>2.9702868385413834E-3</v>
      </c>
      <c r="L154" s="182">
        <v>1.2241404916265849E-2</v>
      </c>
      <c r="M154" s="182">
        <v>6.0096843114448677E-3</v>
      </c>
      <c r="N154" s="182">
        <v>3.8084370850604865E-3</v>
      </c>
      <c r="O154" s="182">
        <v>2.9364667408748229E-3</v>
      </c>
      <c r="P154" s="17">
        <v>1</v>
      </c>
      <c r="Q154" s="17" t="s">
        <v>34</v>
      </c>
      <c r="R154" s="20">
        <v>4</v>
      </c>
      <c r="S154" s="20">
        <v>645</v>
      </c>
      <c r="T154" s="20">
        <v>5</v>
      </c>
      <c r="U154" s="20">
        <v>4495</v>
      </c>
      <c r="V154" s="22">
        <v>379.27237500000001</v>
      </c>
      <c r="W154" s="2"/>
      <c r="X154" s="2"/>
      <c r="Y154" s="6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2:34" ht="12.75" x14ac:dyDescent="0.2">
      <c r="B155" s="346" t="s">
        <v>126</v>
      </c>
      <c r="C155" s="347"/>
      <c r="D155" s="21">
        <f>SUM(D153:D154)</f>
        <v>15428</v>
      </c>
      <c r="E155" s="21">
        <f t="shared" ref="E155:F155" si="168">SUM(E153:E154)</f>
        <v>627247</v>
      </c>
      <c r="F155" s="21">
        <f t="shared" si="168"/>
        <v>1109249</v>
      </c>
      <c r="G155" s="137">
        <f>AVERAGE(G153:G154)</f>
        <v>1.4389338281490107E-2</v>
      </c>
      <c r="H155" s="21">
        <f>SUM(H153:H154)</f>
        <v>14219</v>
      </c>
      <c r="I155" s="26">
        <f>IFERROR(AVERAGE(I153:I154),0)</f>
        <v>1.3261922865245707E-2</v>
      </c>
      <c r="J155" s="21">
        <f>SUM(J153:J154)</f>
        <v>3591</v>
      </c>
      <c r="K155" s="26">
        <f>IFERROR(AVERAGE(K153:K154),0)</f>
        <v>3.315377819755337E-3</v>
      </c>
      <c r="L155" s="26">
        <f t="shared" ref="L155:O155" si="169">IFERROR(AVERAGE(L153:L154),0)</f>
        <v>1.444355068032408E-2</v>
      </c>
      <c r="M155" s="26">
        <f t="shared" si="169"/>
        <v>6.7992873768417776E-3</v>
      </c>
      <c r="N155" s="26">
        <f t="shared" si="169"/>
        <v>4.2738536606624954E-3</v>
      </c>
      <c r="O155" s="28">
        <f t="shared" si="169"/>
        <v>3.2763325362885694E-3</v>
      </c>
      <c r="P155" s="21">
        <f t="shared" ref="P155" si="170">SUM(P153:P154)</f>
        <v>1</v>
      </c>
      <c r="Q155" s="21">
        <f>SUM(Q153:Q154)</f>
        <v>0</v>
      </c>
      <c r="R155" s="21">
        <f t="shared" ref="R155" si="171">SUM(R153:R154)</f>
        <v>7</v>
      </c>
      <c r="S155" s="21">
        <f>SUM(S153:S154)</f>
        <v>1196</v>
      </c>
      <c r="T155" s="21">
        <f t="shared" ref="T155:U155" si="172">SUM(T153:T154)</f>
        <v>6</v>
      </c>
      <c r="U155" s="21">
        <f t="shared" si="172"/>
        <v>7612</v>
      </c>
      <c r="V155" s="23">
        <f>SUM(V153:V154)</f>
        <v>758.54475000000002</v>
      </c>
      <c r="W155" s="2"/>
      <c r="X155" s="2"/>
      <c r="Y155" s="6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2:34" ht="12.75" x14ac:dyDescent="0.2">
      <c r="B156" s="348" t="str">
        <f>C52</f>
        <v>20 Dec</v>
      </c>
      <c r="C156" s="174" t="s">
        <v>124</v>
      </c>
      <c r="D156" s="20">
        <v>2322</v>
      </c>
      <c r="E156" s="20">
        <v>615424</v>
      </c>
      <c r="F156" s="20">
        <v>915870</v>
      </c>
      <c r="G156" s="27">
        <f>D156/F156</f>
        <v>2.5352943103278849E-3</v>
      </c>
      <c r="H156" s="20" t="s">
        <v>34</v>
      </c>
      <c r="I156" s="25">
        <f>IFERROR(H156/F156,0)</f>
        <v>0</v>
      </c>
      <c r="J156" s="20" t="s">
        <v>34</v>
      </c>
      <c r="K156" s="29">
        <f>IFERROR(J156/F156,0)</f>
        <v>0</v>
      </c>
      <c r="L156" s="20" t="s">
        <v>34</v>
      </c>
      <c r="M156" s="20" t="s">
        <v>34</v>
      </c>
      <c r="N156" s="20" t="s">
        <v>34</v>
      </c>
      <c r="O156" s="20" t="s">
        <v>34</v>
      </c>
      <c r="P156" s="17">
        <v>6</v>
      </c>
      <c r="Q156" s="17">
        <v>1439</v>
      </c>
      <c r="R156" s="20">
        <v>1</v>
      </c>
      <c r="S156" s="20">
        <v>781</v>
      </c>
      <c r="T156" s="20">
        <v>7</v>
      </c>
      <c r="U156" s="20">
        <v>3699</v>
      </c>
      <c r="V156" s="22">
        <v>379.27237500000001</v>
      </c>
      <c r="W156" s="2"/>
      <c r="X156" s="2"/>
      <c r="Y156" s="6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2:34" ht="12.75" x14ac:dyDescent="0.2">
      <c r="B157" s="348"/>
      <c r="C157" s="174" t="s">
        <v>125</v>
      </c>
      <c r="D157" s="20">
        <v>3065</v>
      </c>
      <c r="E157" s="20">
        <v>1156607</v>
      </c>
      <c r="F157" s="20">
        <v>1172502</v>
      </c>
      <c r="G157" s="27">
        <f>D157/F157</f>
        <v>2.6140680357048429E-3</v>
      </c>
      <c r="H157" s="20" t="s">
        <v>34</v>
      </c>
      <c r="I157" s="25">
        <f>IFERROR(H157/F157,0)</f>
        <v>0</v>
      </c>
      <c r="J157" s="20" t="s">
        <v>34</v>
      </c>
      <c r="K157" s="29">
        <f>IFERROR(J157/F157,0)</f>
        <v>0</v>
      </c>
      <c r="L157" s="20" t="s">
        <v>34</v>
      </c>
      <c r="M157" s="20" t="s">
        <v>34</v>
      </c>
      <c r="N157" s="20" t="s">
        <v>34</v>
      </c>
      <c r="O157" s="20" t="s">
        <v>34</v>
      </c>
      <c r="P157" s="17">
        <v>1</v>
      </c>
      <c r="Q157" s="17">
        <v>1842</v>
      </c>
      <c r="R157" s="20">
        <v>2</v>
      </c>
      <c r="S157" s="20">
        <v>1079</v>
      </c>
      <c r="T157" s="20">
        <v>3</v>
      </c>
      <c r="U157" s="20">
        <v>4912</v>
      </c>
      <c r="V157" s="22">
        <v>379.27237500000001</v>
      </c>
      <c r="W157" s="2"/>
      <c r="X157" s="2"/>
      <c r="Y157" s="6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2:34" ht="12.75" x14ac:dyDescent="0.2">
      <c r="B158" s="346" t="s">
        <v>126</v>
      </c>
      <c r="C158" s="347"/>
      <c r="D158" s="21">
        <f>SUM(D156:D157)</f>
        <v>5387</v>
      </c>
      <c r="E158" s="21">
        <f t="shared" ref="E158:F158" si="173">SUM(E156:E157)</f>
        <v>1772031</v>
      </c>
      <c r="F158" s="21">
        <f t="shared" si="173"/>
        <v>2088372</v>
      </c>
      <c r="G158" s="137">
        <f>AVERAGE(G156:G157)</f>
        <v>2.5746811730163639E-3</v>
      </c>
      <c r="H158" s="21">
        <f>SUM(H156:H157)</f>
        <v>0</v>
      </c>
      <c r="I158" s="26">
        <f>IFERROR(AVERAGE(I156:I157),0)</f>
        <v>0</v>
      </c>
      <c r="J158" s="21">
        <f>SUM(J156:J157)</f>
        <v>0</v>
      </c>
      <c r="K158" s="26">
        <f>IFERROR(AVERAGE(K156:K157),0)</f>
        <v>0</v>
      </c>
      <c r="L158" s="26">
        <f t="shared" ref="L158:O158" si="174">IFERROR(AVERAGE(L156:L157),0)</f>
        <v>0</v>
      </c>
      <c r="M158" s="26">
        <f t="shared" si="174"/>
        <v>0</v>
      </c>
      <c r="N158" s="26">
        <f t="shared" si="174"/>
        <v>0</v>
      </c>
      <c r="O158" s="28">
        <f t="shared" si="174"/>
        <v>0</v>
      </c>
      <c r="P158" s="21">
        <f t="shared" ref="P158" si="175">SUM(P156:P157)</f>
        <v>7</v>
      </c>
      <c r="Q158" s="21">
        <f>SUM(Q156:Q157)</f>
        <v>3281</v>
      </c>
      <c r="R158" s="21">
        <f t="shared" ref="R158" si="176">SUM(R156:R157)</f>
        <v>3</v>
      </c>
      <c r="S158" s="21">
        <f>SUM(S156:S157)</f>
        <v>1860</v>
      </c>
      <c r="T158" s="21">
        <f t="shared" ref="T158:U158" si="177">SUM(T156:T157)</f>
        <v>10</v>
      </c>
      <c r="U158" s="21">
        <f t="shared" si="177"/>
        <v>8611</v>
      </c>
      <c r="V158" s="23">
        <f>SUM(V156:V157)</f>
        <v>758.54475000000002</v>
      </c>
      <c r="W158" s="2"/>
      <c r="X158" s="2"/>
      <c r="Y158" s="6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2:34" ht="12.75" x14ac:dyDescent="0.2">
      <c r="B159" s="348" t="str">
        <f>C53</f>
        <v>24 Dec</v>
      </c>
      <c r="C159" s="174" t="s">
        <v>124</v>
      </c>
      <c r="D159" s="20">
        <v>2152</v>
      </c>
      <c r="E159" s="20">
        <v>254592</v>
      </c>
      <c r="F159" s="20">
        <v>340361</v>
      </c>
      <c r="G159" s="29">
        <f>D159/F159</f>
        <v>6.3226985465432289E-3</v>
      </c>
      <c r="H159" s="20">
        <v>1923</v>
      </c>
      <c r="I159" s="25">
        <f>IFERROR(H159/F159,0)</f>
        <v>5.6498835060421141E-3</v>
      </c>
      <c r="J159" s="20">
        <v>282</v>
      </c>
      <c r="K159" s="27">
        <f>IFERROR(J159/F159,0)</f>
        <v>8.2853205860835991E-4</v>
      </c>
      <c r="L159" s="182">
        <v>4.2719347986402674E-3</v>
      </c>
      <c r="M159" s="182">
        <v>1.9009228436865564E-3</v>
      </c>
      <c r="N159" s="182">
        <v>1.1752227781678865E-3</v>
      </c>
      <c r="O159" s="182">
        <v>7.9327537526332332E-4</v>
      </c>
      <c r="P159" s="17"/>
      <c r="Q159" s="17"/>
      <c r="R159" s="20">
        <v>1</v>
      </c>
      <c r="S159" s="20">
        <v>225</v>
      </c>
      <c r="T159" s="20">
        <v>3</v>
      </c>
      <c r="U159" s="20">
        <v>1416</v>
      </c>
      <c r="V159" s="22">
        <v>108.35849999999999</v>
      </c>
      <c r="W159" s="2"/>
      <c r="X159" s="2"/>
      <c r="Y159" s="6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2:34" ht="12.75" x14ac:dyDescent="0.2">
      <c r="B160" s="348"/>
      <c r="C160" s="174" t="s">
        <v>125</v>
      </c>
      <c r="D160" s="20">
        <v>2704</v>
      </c>
      <c r="E160" s="20">
        <v>432814</v>
      </c>
      <c r="F160" s="20">
        <v>432814</v>
      </c>
      <c r="G160" s="29">
        <f>D160/F160</f>
        <v>6.2474873733289592E-3</v>
      </c>
      <c r="H160" s="20">
        <v>2445</v>
      </c>
      <c r="I160" s="25">
        <f>IFERROR(H160/F160,0)</f>
        <v>5.6490778948924941E-3</v>
      </c>
      <c r="J160" s="20">
        <v>410</v>
      </c>
      <c r="K160" s="27">
        <f>IFERROR(J160/F160,0)</f>
        <v>9.4728913574884362E-4</v>
      </c>
      <c r="L160" s="182">
        <v>4.4383961701793383E-3</v>
      </c>
      <c r="M160" s="182">
        <v>1.9869967237658671E-3</v>
      </c>
      <c r="N160" s="182">
        <v>1.2384072603936103E-3</v>
      </c>
      <c r="O160" s="182">
        <v>9.0801129353486722E-4</v>
      </c>
      <c r="P160" s="17">
        <v>1</v>
      </c>
      <c r="Q160" s="17"/>
      <c r="R160" s="20">
        <v>2</v>
      </c>
      <c r="S160" s="20">
        <v>255</v>
      </c>
      <c r="T160" s="20">
        <v>2</v>
      </c>
      <c r="U160" s="20">
        <v>1747</v>
      </c>
      <c r="V160" s="22">
        <v>108.35849999999999</v>
      </c>
      <c r="W160" s="2"/>
      <c r="X160" s="2"/>
      <c r="Y160" s="6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2:34" ht="12.75" x14ac:dyDescent="0.2">
      <c r="B161" s="346" t="s">
        <v>126</v>
      </c>
      <c r="C161" s="347"/>
      <c r="D161" s="21">
        <f>SUM(D159:D160)</f>
        <v>4856</v>
      </c>
      <c r="E161" s="21">
        <f t="shared" ref="E161:F161" si="178">SUM(E159:E160)</f>
        <v>687406</v>
      </c>
      <c r="F161" s="21">
        <f t="shared" si="178"/>
        <v>773175</v>
      </c>
      <c r="G161" s="137">
        <f>AVERAGE(G159:G160)</f>
        <v>6.2850929599360941E-3</v>
      </c>
      <c r="H161" s="21">
        <f>SUM(H159:H160)</f>
        <v>4368</v>
      </c>
      <c r="I161" s="26">
        <f>IFERROR(AVERAGE(I159:I160),0)</f>
        <v>5.6494807004673041E-3</v>
      </c>
      <c r="J161" s="21">
        <f>SUM(J159:J160)</f>
        <v>692</v>
      </c>
      <c r="K161" s="26">
        <f>IFERROR(AVERAGE(K159:K160),0)</f>
        <v>8.8791059717860171E-4</v>
      </c>
      <c r="L161" s="26">
        <f t="shared" ref="L161:O161" si="179">IFERROR(AVERAGE(L159:L160),0)</f>
        <v>4.3551654844098033E-3</v>
      </c>
      <c r="M161" s="26">
        <f t="shared" si="179"/>
        <v>1.9439597837262118E-3</v>
      </c>
      <c r="N161" s="26">
        <f t="shared" si="179"/>
        <v>1.2068150192807484E-3</v>
      </c>
      <c r="O161" s="28">
        <f t="shared" si="179"/>
        <v>8.5064333439909532E-4</v>
      </c>
      <c r="P161" s="21">
        <f t="shared" ref="P161" si="180">SUM(P159:P160)</f>
        <v>1</v>
      </c>
      <c r="Q161" s="21">
        <f>SUM(Q159:Q160)</f>
        <v>0</v>
      </c>
      <c r="R161" s="21">
        <f t="shared" ref="R161" si="181">SUM(R159:R160)</f>
        <v>3</v>
      </c>
      <c r="S161" s="21">
        <f>SUM(S159:S160)</f>
        <v>480</v>
      </c>
      <c r="T161" s="21">
        <f t="shared" ref="T161:U161" si="182">SUM(T159:T160)</f>
        <v>5</v>
      </c>
      <c r="U161" s="21">
        <f t="shared" si="182"/>
        <v>3163</v>
      </c>
      <c r="V161" s="23">
        <f>SUM(V159:V160)</f>
        <v>216.71699999999998</v>
      </c>
      <c r="W161" s="2"/>
      <c r="X161" s="2"/>
      <c r="Y161" s="6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2:34" ht="12.75" hidden="1" x14ac:dyDescent="0.2">
      <c r="B162" s="348" t="str">
        <f>C54</f>
        <v>14 Jan</v>
      </c>
      <c r="C162" s="174" t="s">
        <v>124</v>
      </c>
      <c r="D162" s="20">
        <v>7088</v>
      </c>
      <c r="E162" s="20">
        <v>217018</v>
      </c>
      <c r="F162" s="20">
        <v>429180</v>
      </c>
      <c r="G162" s="29">
        <f>D162/F162</f>
        <v>1.6515215061279651E-2</v>
      </c>
      <c r="H162" s="20">
        <v>6533</v>
      </c>
      <c r="I162" s="25">
        <f>IFERROR(H162/F162,0)</f>
        <v>1.522205135374435E-2</v>
      </c>
      <c r="J162" s="20">
        <v>1571</v>
      </c>
      <c r="K162" s="27">
        <f>IFERROR(J162/F162,0)</f>
        <v>3.6604688009692901E-3</v>
      </c>
      <c r="L162" s="182">
        <v>1.664569644438231E-2</v>
      </c>
      <c r="M162" s="182">
        <v>7.5888904422386876E-3</v>
      </c>
      <c r="N162" s="182">
        <v>4.7392702362645048E-3</v>
      </c>
      <c r="O162" s="182">
        <v>3.6161983317023159E-3</v>
      </c>
      <c r="P162" s="17">
        <v>0</v>
      </c>
      <c r="Q162" s="17" t="s">
        <v>34</v>
      </c>
      <c r="R162" s="20">
        <v>3</v>
      </c>
      <c r="S162" s="20">
        <v>551</v>
      </c>
      <c r="T162" s="20">
        <v>1</v>
      </c>
      <c r="U162" s="20">
        <v>3117</v>
      </c>
      <c r="V162" s="22">
        <v>379.27237500000001</v>
      </c>
      <c r="W162" s="2"/>
      <c r="X162" s="2"/>
      <c r="Y162" s="6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2:34" ht="12.75" hidden="1" x14ac:dyDescent="0.2">
      <c r="B163" s="348"/>
      <c r="C163" s="174" t="s">
        <v>125</v>
      </c>
      <c r="D163" s="20">
        <v>8340</v>
      </c>
      <c r="E163" s="20">
        <v>410229</v>
      </c>
      <c r="F163" s="20">
        <v>680069</v>
      </c>
      <c r="G163" s="29">
        <f>D163/F163</f>
        <v>1.2263461501700563E-2</v>
      </c>
      <c r="H163" s="20">
        <v>7686</v>
      </c>
      <c r="I163" s="25">
        <f>IFERROR(H163/F163,0)</f>
        <v>1.1301794376747065E-2</v>
      </c>
      <c r="J163" s="20">
        <v>2020</v>
      </c>
      <c r="K163" s="27">
        <f>IFERROR(J163/F163,0)</f>
        <v>2.9702868385413834E-3</v>
      </c>
      <c r="L163" s="182">
        <v>1.2241404916265849E-2</v>
      </c>
      <c r="M163" s="182">
        <v>6.0096843114448677E-3</v>
      </c>
      <c r="N163" s="182">
        <v>3.8084370850604865E-3</v>
      </c>
      <c r="O163" s="182">
        <v>2.9364667408748229E-3</v>
      </c>
      <c r="P163" s="17">
        <v>1</v>
      </c>
      <c r="Q163" s="17" t="s">
        <v>34</v>
      </c>
      <c r="R163" s="20">
        <v>4</v>
      </c>
      <c r="S163" s="20">
        <v>645</v>
      </c>
      <c r="T163" s="20">
        <v>5</v>
      </c>
      <c r="U163" s="20">
        <v>4495</v>
      </c>
      <c r="V163" s="22">
        <v>379.27237500000001</v>
      </c>
      <c r="W163" s="2"/>
      <c r="X163" s="2"/>
      <c r="Y163" s="6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2:34" ht="12.75" hidden="1" x14ac:dyDescent="0.2">
      <c r="B164" s="346" t="s">
        <v>126</v>
      </c>
      <c r="C164" s="347"/>
      <c r="D164" s="21">
        <f>SUM(D162:D163)</f>
        <v>15428</v>
      </c>
      <c r="E164" s="21">
        <f t="shared" ref="E164:F164" si="183">SUM(E162:E163)</f>
        <v>627247</v>
      </c>
      <c r="F164" s="21">
        <f t="shared" si="183"/>
        <v>1109249</v>
      </c>
      <c r="G164" s="137">
        <f>AVERAGE(G162:G163)</f>
        <v>1.4389338281490107E-2</v>
      </c>
      <c r="H164" s="21">
        <f>SUM(H162:H163)</f>
        <v>14219</v>
      </c>
      <c r="I164" s="26">
        <f>IFERROR(AVERAGE(I162:I163),0)</f>
        <v>1.3261922865245707E-2</v>
      </c>
      <c r="J164" s="21">
        <f>SUM(J162:J163)</f>
        <v>3591</v>
      </c>
      <c r="K164" s="26">
        <f>IFERROR(AVERAGE(K162:K163),0)</f>
        <v>3.315377819755337E-3</v>
      </c>
      <c r="L164" s="26">
        <f t="shared" ref="L164:O164" si="184">IFERROR(AVERAGE(L162:L163),0)</f>
        <v>1.444355068032408E-2</v>
      </c>
      <c r="M164" s="26">
        <f t="shared" si="184"/>
        <v>6.7992873768417776E-3</v>
      </c>
      <c r="N164" s="26">
        <f t="shared" si="184"/>
        <v>4.2738536606624954E-3</v>
      </c>
      <c r="O164" s="28">
        <f t="shared" si="184"/>
        <v>3.2763325362885694E-3</v>
      </c>
      <c r="P164" s="21">
        <f t="shared" ref="P164" si="185">SUM(P162:P163)</f>
        <v>1</v>
      </c>
      <c r="Q164" s="21">
        <f>SUM(Q162:Q163)</f>
        <v>0</v>
      </c>
      <c r="R164" s="21">
        <f t="shared" ref="R164" si="186">SUM(R162:R163)</f>
        <v>7</v>
      </c>
      <c r="S164" s="21">
        <f>SUM(S162:S163)</f>
        <v>1196</v>
      </c>
      <c r="T164" s="21">
        <f t="shared" ref="T164:U164" si="187">SUM(T162:T163)</f>
        <v>6</v>
      </c>
      <c r="U164" s="21">
        <f t="shared" si="187"/>
        <v>7612</v>
      </c>
      <c r="V164" s="23">
        <f>SUM(V162:V163)</f>
        <v>758.54475000000002</v>
      </c>
      <c r="W164" s="2"/>
      <c r="X164" s="2"/>
      <c r="Y164" s="6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2:34" ht="12.75" x14ac:dyDescent="0.2">
      <c r="B165" s="2"/>
      <c r="C165" s="167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6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2:34" ht="12.75" x14ac:dyDescent="0.2">
      <c r="B166" s="2"/>
      <c r="C166" s="167"/>
      <c r="D166" s="2"/>
      <c r="E166" s="308"/>
      <c r="F166" s="308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6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2:34" ht="12.75" x14ac:dyDescent="0.2">
      <c r="B167" s="2"/>
      <c r="C167" s="167"/>
      <c r="D167" s="2"/>
      <c r="E167" s="308"/>
      <c r="F167" s="308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6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2:34" ht="12.75" x14ac:dyDescent="0.2">
      <c r="B168" s="2"/>
      <c r="C168" s="167"/>
      <c r="D168" s="2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6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2:34" ht="12.75" x14ac:dyDescent="0.2">
      <c r="B169" s="2"/>
      <c r="C169" s="167"/>
      <c r="D169" s="2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6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2:34" ht="12.75" x14ac:dyDescent="0.2">
      <c r="B170" s="2"/>
      <c r="C170" s="167"/>
      <c r="D170" s="2"/>
      <c r="E170" s="308"/>
      <c r="F170" s="308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6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2:34" ht="12.75" x14ac:dyDescent="0.2">
      <c r="B171" s="2"/>
      <c r="C171" s="167"/>
      <c r="D171" s="2"/>
      <c r="E171" s="308"/>
      <c r="F171" s="308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6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2:34" ht="12.75" x14ac:dyDescent="0.2">
      <c r="B172" s="2"/>
      <c r="C172" s="167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6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2:34" ht="12.75" x14ac:dyDescent="0.2">
      <c r="B173" s="2"/>
      <c r="C173" s="167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6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2:34" ht="12.75" x14ac:dyDescent="0.2">
      <c r="B174" s="2"/>
      <c r="C174" s="167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6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2:34" ht="12.75" x14ac:dyDescent="0.2">
      <c r="B175" s="2"/>
      <c r="C175" s="167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6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2:34" ht="12.75" x14ac:dyDescent="0.2">
      <c r="B176" s="2"/>
      <c r="C176" s="167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6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2:34" ht="12.75" x14ac:dyDescent="0.2">
      <c r="B177" s="2"/>
      <c r="C177" s="167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6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2:34" ht="12.75" x14ac:dyDescent="0.2">
      <c r="B178" s="2"/>
      <c r="C178" s="167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6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2:34" ht="12.75" x14ac:dyDescent="0.2">
      <c r="B179" s="2"/>
      <c r="C179" s="167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6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2:34" ht="12.75" x14ac:dyDescent="0.2">
      <c r="B180" s="2"/>
      <c r="C180" s="167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6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2:34" ht="12.75" x14ac:dyDescent="0.2">
      <c r="B181" s="2"/>
      <c r="C181" s="167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6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2:34" ht="12.75" x14ac:dyDescent="0.2">
      <c r="B182" s="2"/>
      <c r="C182" s="167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6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2:34" ht="12.75" x14ac:dyDescent="0.2">
      <c r="B183" s="2"/>
      <c r="C183" s="167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6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2:34" ht="12.75" x14ac:dyDescent="0.2">
      <c r="B184" s="2"/>
      <c r="C184" s="167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6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2:34" ht="12.75" x14ac:dyDescent="0.2">
      <c r="B185" s="2"/>
      <c r="C185" s="167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6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2:34" ht="12.75" x14ac:dyDescent="0.2">
      <c r="B186" s="2"/>
      <c r="C186" s="167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6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2:34" ht="12.75" x14ac:dyDescent="0.2">
      <c r="B187" s="2"/>
      <c r="C187" s="167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6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2:34" ht="12.75" x14ac:dyDescent="0.2">
      <c r="B188" s="2"/>
      <c r="C188" s="167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6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2:34" ht="12.75" x14ac:dyDescent="0.2">
      <c r="B189" s="2"/>
      <c r="C189" s="167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6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2:34" ht="12.75" x14ac:dyDescent="0.2">
      <c r="B190" s="2"/>
      <c r="C190" s="167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6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2:34" ht="12.75" x14ac:dyDescent="0.2">
      <c r="B191" s="2"/>
      <c r="C191" s="167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6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2:34" ht="12.75" x14ac:dyDescent="0.2">
      <c r="B192" s="2"/>
      <c r="C192" s="167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6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2:34" ht="12.75" x14ac:dyDescent="0.2">
      <c r="B193" s="2"/>
      <c r="C193" s="167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6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2:34" ht="12.75" x14ac:dyDescent="0.2">
      <c r="B194" s="2"/>
      <c r="C194" s="167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6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2:34" ht="12.75" x14ac:dyDescent="0.2">
      <c r="B195" s="2"/>
      <c r="C195" s="167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6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2:34" ht="12.75" x14ac:dyDescent="0.2">
      <c r="B196" s="2"/>
      <c r="C196" s="167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6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2:34" ht="12.75" x14ac:dyDescent="0.2">
      <c r="B197" s="2"/>
      <c r="C197" s="167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6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2:34" ht="12.75" x14ac:dyDescent="0.2">
      <c r="B198" s="2"/>
      <c r="C198" s="167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6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2:34" ht="12.75" x14ac:dyDescent="0.2">
      <c r="B199" s="2"/>
      <c r="C199" s="167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6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2:34" ht="12.75" x14ac:dyDescent="0.2">
      <c r="B200" s="2"/>
      <c r="C200" s="167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6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2:34" ht="12.75" x14ac:dyDescent="0.2">
      <c r="B201" s="2"/>
      <c r="C201" s="167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6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2:34" ht="12.75" x14ac:dyDescent="0.2">
      <c r="B202" s="2"/>
      <c r="C202" s="167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6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2:34" ht="12.75" x14ac:dyDescent="0.2">
      <c r="B203" s="2"/>
      <c r="C203" s="167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6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2:34" ht="12.75" x14ac:dyDescent="0.2">
      <c r="B204" s="2"/>
      <c r="C204" s="167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6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2:34" ht="12.75" x14ac:dyDescent="0.2">
      <c r="B205" s="2"/>
      <c r="C205" s="167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6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2:34" ht="12.75" x14ac:dyDescent="0.2">
      <c r="B206" s="2"/>
      <c r="C206" s="167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6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2:34" ht="12.75" x14ac:dyDescent="0.2">
      <c r="B207" s="2"/>
      <c r="C207" s="167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6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2:34" ht="12.75" x14ac:dyDescent="0.2">
      <c r="B208" s="2"/>
      <c r="C208" s="167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6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2:34" ht="12.75" x14ac:dyDescent="0.2">
      <c r="B209" s="2"/>
      <c r="C209" s="167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6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2:34" ht="12.75" x14ac:dyDescent="0.2">
      <c r="B210" s="2"/>
      <c r="C210" s="167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6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2:34" ht="12.75" x14ac:dyDescent="0.2">
      <c r="B211" s="2"/>
      <c r="C211" s="167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6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2:34" ht="12.75" x14ac:dyDescent="0.2">
      <c r="B212" s="2"/>
      <c r="C212" s="167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6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2:34" ht="12.75" x14ac:dyDescent="0.2">
      <c r="B213" s="2"/>
      <c r="C213" s="167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6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2:34" ht="12.75" x14ac:dyDescent="0.2">
      <c r="B214" s="2"/>
      <c r="C214" s="167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6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2:34" ht="12.75" x14ac:dyDescent="0.2">
      <c r="B215" s="2"/>
      <c r="C215" s="167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6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2:34" ht="12.75" x14ac:dyDescent="0.2">
      <c r="B216" s="2"/>
      <c r="C216" s="167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6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2:34" ht="12.75" x14ac:dyDescent="0.2">
      <c r="B217" s="2"/>
      <c r="C217" s="167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6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2:34" ht="12.75" x14ac:dyDescent="0.2">
      <c r="B218" s="2"/>
      <c r="C218" s="167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6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2:34" ht="12.75" x14ac:dyDescent="0.2">
      <c r="B219" s="2"/>
      <c r="C219" s="167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6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2:34" ht="12.75" x14ac:dyDescent="0.2">
      <c r="B220" s="2"/>
      <c r="C220" s="167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6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2:34" ht="12.75" x14ac:dyDescent="0.2">
      <c r="B221" s="2"/>
      <c r="C221" s="167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6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2:34" ht="12.75" x14ac:dyDescent="0.2">
      <c r="B222" s="2"/>
      <c r="C222" s="167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6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2:34" ht="12.75" x14ac:dyDescent="0.2">
      <c r="B223" s="2"/>
      <c r="C223" s="167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6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2:34" ht="12.75" x14ac:dyDescent="0.2">
      <c r="B224" s="2"/>
      <c r="C224" s="167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6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2:34" ht="12.75" x14ac:dyDescent="0.2">
      <c r="B225" s="2"/>
      <c r="C225" s="167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6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2:34" ht="12.75" x14ac:dyDescent="0.2">
      <c r="B226" s="2"/>
      <c r="C226" s="167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6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2:34" ht="12.75" x14ac:dyDescent="0.2">
      <c r="B227" s="2"/>
      <c r="C227" s="167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6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2:34" ht="12.75" x14ac:dyDescent="0.2">
      <c r="B228" s="2"/>
      <c r="C228" s="167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6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2:34" ht="12.75" x14ac:dyDescent="0.2">
      <c r="B229" s="2"/>
      <c r="C229" s="167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6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2:34" ht="12.75" x14ac:dyDescent="0.2">
      <c r="B230" s="2"/>
      <c r="C230" s="167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6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2:34" ht="12.75" x14ac:dyDescent="0.2">
      <c r="B231" s="2"/>
      <c r="C231" s="167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6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2:34" ht="12.75" x14ac:dyDescent="0.2">
      <c r="B232" s="2"/>
      <c r="C232" s="167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6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2:34" ht="12.75" x14ac:dyDescent="0.2">
      <c r="B233" s="2"/>
      <c r="C233" s="167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6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2:34" ht="12.75" x14ac:dyDescent="0.2">
      <c r="B234" s="2"/>
      <c r="C234" s="167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6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2:34" ht="12.75" x14ac:dyDescent="0.2">
      <c r="B235" s="2"/>
      <c r="C235" s="167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6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2:34" ht="12.75" x14ac:dyDescent="0.2">
      <c r="B236" s="2"/>
      <c r="C236" s="167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6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2:34" ht="12.75" x14ac:dyDescent="0.2">
      <c r="B237" s="2"/>
      <c r="C237" s="167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6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2:34" ht="12.75" x14ac:dyDescent="0.2">
      <c r="B238" s="2"/>
      <c r="C238" s="167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6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2:34" ht="12.75" x14ac:dyDescent="0.2">
      <c r="B239" s="2"/>
      <c r="C239" s="167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6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2:34" ht="12.75" x14ac:dyDescent="0.2">
      <c r="B240" s="2"/>
      <c r="C240" s="167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6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2:34" ht="12.75" x14ac:dyDescent="0.2">
      <c r="B241" s="2"/>
      <c r="C241" s="167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6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2:34" ht="12.75" x14ac:dyDescent="0.2">
      <c r="B242" s="2"/>
      <c r="C242" s="167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6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2:34" ht="12.75" x14ac:dyDescent="0.2">
      <c r="B243" s="2"/>
      <c r="C243" s="167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6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2:34" ht="12.75" x14ac:dyDescent="0.2">
      <c r="B244" s="2"/>
      <c r="C244" s="167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6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2:34" ht="12.75" x14ac:dyDescent="0.2">
      <c r="B245" s="2"/>
      <c r="C245" s="167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6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2:34" ht="12.75" x14ac:dyDescent="0.2">
      <c r="B246" s="2"/>
      <c r="C246" s="167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6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2:34" ht="12.75" x14ac:dyDescent="0.2">
      <c r="B247" s="2"/>
      <c r="C247" s="167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6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2:34" ht="12.75" x14ac:dyDescent="0.2">
      <c r="B248" s="2"/>
      <c r="C248" s="167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6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2:34" ht="12.75" x14ac:dyDescent="0.2">
      <c r="B249" s="2"/>
      <c r="C249" s="167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6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2:34" ht="12.75" x14ac:dyDescent="0.2">
      <c r="B250" s="2"/>
      <c r="C250" s="167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6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2:34" ht="12.75" x14ac:dyDescent="0.2">
      <c r="B251" s="2"/>
      <c r="C251" s="167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6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2:34" ht="12.75" x14ac:dyDescent="0.2">
      <c r="B252" s="2"/>
      <c r="C252" s="167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6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2:34" ht="12.75" x14ac:dyDescent="0.2">
      <c r="B253" s="2"/>
      <c r="C253" s="167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6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2:34" ht="12.75" x14ac:dyDescent="0.2">
      <c r="B254" s="2"/>
      <c r="C254" s="167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6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2:34" ht="12.75" x14ac:dyDescent="0.2">
      <c r="B255" s="2"/>
      <c r="C255" s="167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6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2:34" ht="12.75" x14ac:dyDescent="0.2">
      <c r="B256" s="2"/>
      <c r="C256" s="167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6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2:34" ht="12.75" x14ac:dyDescent="0.2">
      <c r="B257" s="2"/>
      <c r="C257" s="167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6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2:34" ht="12.75" x14ac:dyDescent="0.2">
      <c r="B258" s="2"/>
      <c r="C258" s="167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6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2:34" ht="12.75" x14ac:dyDescent="0.2">
      <c r="B259" s="2"/>
      <c r="C259" s="167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6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2:34" ht="12.75" x14ac:dyDescent="0.2">
      <c r="B260" s="2"/>
      <c r="C260" s="167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6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2:34" ht="12.75" x14ac:dyDescent="0.2">
      <c r="B261" s="2"/>
      <c r="C261" s="167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6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2:34" ht="12.75" x14ac:dyDescent="0.2">
      <c r="B262" s="2"/>
      <c r="C262" s="167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6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2:34" ht="12.75" x14ac:dyDescent="0.2">
      <c r="B263" s="2"/>
      <c r="C263" s="167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6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2:34" ht="12.75" x14ac:dyDescent="0.2">
      <c r="B264" s="2"/>
      <c r="C264" s="167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6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2:34" ht="12.75" x14ac:dyDescent="0.2">
      <c r="B265" s="2"/>
      <c r="C265" s="167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6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2:34" ht="12.75" x14ac:dyDescent="0.2">
      <c r="B266" s="2"/>
      <c r="C266" s="167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6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2:34" ht="12.75" x14ac:dyDescent="0.2">
      <c r="B267" s="2"/>
      <c r="C267" s="167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6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2:34" ht="12.75" x14ac:dyDescent="0.2">
      <c r="B268" s="2"/>
      <c r="C268" s="167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6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2:34" ht="12.75" x14ac:dyDescent="0.2">
      <c r="B269" s="2"/>
      <c r="C269" s="167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6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2:34" ht="12.75" x14ac:dyDescent="0.2">
      <c r="B270" s="2"/>
      <c r="C270" s="167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6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2:34" ht="12.75" x14ac:dyDescent="0.2">
      <c r="B271" s="2"/>
      <c r="C271" s="167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6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2:34" ht="12.75" x14ac:dyDescent="0.2">
      <c r="B272" s="2"/>
      <c r="C272" s="167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6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2:34" ht="12.75" x14ac:dyDescent="0.2">
      <c r="B273" s="2"/>
      <c r="C273" s="167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6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2:34" ht="12.75" x14ac:dyDescent="0.2">
      <c r="B274" s="2"/>
      <c r="C274" s="167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6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2:34" ht="12.75" x14ac:dyDescent="0.2">
      <c r="B275" s="2"/>
      <c r="C275" s="167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6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2:34" ht="12.75" x14ac:dyDescent="0.2">
      <c r="B276" s="2"/>
      <c r="C276" s="167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6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2:34" ht="12.75" x14ac:dyDescent="0.2">
      <c r="B277" s="2"/>
      <c r="C277" s="167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6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2:34" ht="12.75" x14ac:dyDescent="0.2">
      <c r="B278" s="2"/>
      <c r="C278" s="167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6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2:34" ht="12.75" x14ac:dyDescent="0.2">
      <c r="B279" s="2"/>
      <c r="C279" s="167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6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2:34" ht="12.75" x14ac:dyDescent="0.2">
      <c r="B280" s="2"/>
      <c r="C280" s="167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6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2:34" ht="12.75" x14ac:dyDescent="0.2">
      <c r="B281" s="2"/>
      <c r="C281" s="167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6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2:34" ht="12.75" x14ac:dyDescent="0.2">
      <c r="B282" s="2"/>
      <c r="C282" s="167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6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2:34" ht="12.75" x14ac:dyDescent="0.2">
      <c r="B283" s="2"/>
      <c r="C283" s="167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6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2:34" ht="12.75" x14ac:dyDescent="0.2">
      <c r="B284" s="2"/>
      <c r="C284" s="167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6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2:34" ht="12.75" x14ac:dyDescent="0.2">
      <c r="B285" s="2"/>
      <c r="C285" s="167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6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2:34" ht="12.75" x14ac:dyDescent="0.2">
      <c r="B286" s="2"/>
      <c r="C286" s="167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6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2:34" ht="12.75" x14ac:dyDescent="0.2">
      <c r="B287" s="2"/>
      <c r="C287" s="167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6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2:34" ht="12.75" x14ac:dyDescent="0.2">
      <c r="B288" s="2"/>
      <c r="C288" s="167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6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2:34" ht="12.75" x14ac:dyDescent="0.2">
      <c r="B289" s="2"/>
      <c r="C289" s="167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6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2:34" ht="12.75" x14ac:dyDescent="0.2">
      <c r="B290" s="2"/>
      <c r="C290" s="167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6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2:34" ht="12.75" x14ac:dyDescent="0.2">
      <c r="B291" s="2"/>
      <c r="C291" s="167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6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2:34" ht="12.75" x14ac:dyDescent="0.2">
      <c r="B292" s="2"/>
      <c r="C292" s="167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6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2:34" ht="12.75" x14ac:dyDescent="0.2">
      <c r="B293" s="2"/>
      <c r="C293" s="167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6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2:34" ht="12.75" x14ac:dyDescent="0.2">
      <c r="B294" s="2"/>
      <c r="C294" s="167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6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2:34" ht="12.75" x14ac:dyDescent="0.2">
      <c r="B295" s="2"/>
      <c r="C295" s="167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6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2:34" ht="12.75" x14ac:dyDescent="0.2">
      <c r="B296" s="2"/>
      <c r="C296" s="167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6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2:34" ht="12.75" x14ac:dyDescent="0.2">
      <c r="B297" s="2"/>
      <c r="C297" s="167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6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2:34" ht="12.75" x14ac:dyDescent="0.2">
      <c r="B298" s="2"/>
      <c r="C298" s="167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6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2:34" ht="12.75" x14ac:dyDescent="0.2">
      <c r="B299" s="2"/>
      <c r="C299" s="167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6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2:34" ht="12.75" x14ac:dyDescent="0.2">
      <c r="B300" s="2"/>
      <c r="C300" s="16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6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2:34" ht="12.75" x14ac:dyDescent="0.2">
      <c r="B301" s="2"/>
      <c r="C301" s="16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6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2:34" ht="12.75" x14ac:dyDescent="0.2">
      <c r="B302" s="2"/>
      <c r="C302" s="167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6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2:34" ht="12.75" x14ac:dyDescent="0.2">
      <c r="B303" s="2"/>
      <c r="C303" s="167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6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2:34" ht="12.75" x14ac:dyDescent="0.2">
      <c r="B304" s="2"/>
      <c r="C304" s="167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6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2:34" ht="12.75" x14ac:dyDescent="0.2">
      <c r="B305" s="2"/>
      <c r="C305" s="167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6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2:34" ht="12.75" x14ac:dyDescent="0.2">
      <c r="B306" s="2"/>
      <c r="C306" s="167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6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2:34" ht="12.75" x14ac:dyDescent="0.2">
      <c r="B307" s="2"/>
      <c r="C307" s="167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6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2:34" ht="12.75" x14ac:dyDescent="0.2">
      <c r="B308" s="2"/>
      <c r="C308" s="167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6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2:34" ht="12.75" x14ac:dyDescent="0.2">
      <c r="B309" s="2"/>
      <c r="C309" s="167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6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2:34" ht="12.75" x14ac:dyDescent="0.2">
      <c r="B310" s="2"/>
      <c r="C310" s="167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6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2:34" ht="12.75" x14ac:dyDescent="0.2">
      <c r="B311" s="2"/>
      <c r="C311" s="167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6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2:34" ht="12.75" x14ac:dyDescent="0.2">
      <c r="B312" s="2"/>
      <c r="C312" s="16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6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2:34" ht="12.75" x14ac:dyDescent="0.2">
      <c r="B313" s="2"/>
      <c r="C313" s="16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6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2:34" ht="12.75" x14ac:dyDescent="0.2">
      <c r="B314" s="2"/>
      <c r="C314" s="16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6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2:34" ht="12.75" x14ac:dyDescent="0.2">
      <c r="B315" s="2"/>
      <c r="C315" s="167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6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2:34" ht="12.75" x14ac:dyDescent="0.2">
      <c r="B316" s="2"/>
      <c r="C316" s="167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6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2:34" ht="12.75" x14ac:dyDescent="0.2">
      <c r="B317" s="2"/>
      <c r="C317" s="167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6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2:34" ht="12.75" x14ac:dyDescent="0.2">
      <c r="B318" s="2"/>
      <c r="C318" s="167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6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2:34" ht="12.75" x14ac:dyDescent="0.2">
      <c r="B319" s="2"/>
      <c r="C319" s="167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6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2:34" ht="12.75" x14ac:dyDescent="0.2">
      <c r="B320" s="2"/>
      <c r="C320" s="167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6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2:34" ht="12.75" x14ac:dyDescent="0.2">
      <c r="B321" s="2"/>
      <c r="C321" s="167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6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2:34" ht="12.75" x14ac:dyDescent="0.2">
      <c r="B322" s="2"/>
      <c r="C322" s="167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6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2:34" ht="12.75" x14ac:dyDescent="0.2">
      <c r="B323" s="2"/>
      <c r="C323" s="167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6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2:34" ht="12.75" x14ac:dyDescent="0.2">
      <c r="B324" s="2"/>
      <c r="C324" s="167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6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2:34" ht="12.75" x14ac:dyDescent="0.2">
      <c r="B325" s="2"/>
      <c r="C325" s="167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6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2:34" ht="12.75" x14ac:dyDescent="0.2">
      <c r="B326" s="2"/>
      <c r="C326" s="167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6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2:34" ht="12.75" x14ac:dyDescent="0.2">
      <c r="B327" s="2"/>
      <c r="C327" s="167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6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2:34" ht="12.75" x14ac:dyDescent="0.2">
      <c r="B328" s="2"/>
      <c r="C328" s="167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6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2:34" ht="12.75" x14ac:dyDescent="0.2">
      <c r="B329" s="2"/>
      <c r="C329" s="167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6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2:34" ht="12.75" x14ac:dyDescent="0.2">
      <c r="B330" s="2"/>
      <c r="C330" s="167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6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2:34" ht="12.75" x14ac:dyDescent="0.2">
      <c r="B331" s="2"/>
      <c r="C331" s="167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6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2:34" ht="12.75" x14ac:dyDescent="0.2">
      <c r="B332" s="2"/>
      <c r="C332" s="167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6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2:34" ht="12.75" x14ac:dyDescent="0.2">
      <c r="B333" s="2"/>
      <c r="C333" s="167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6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2:34" ht="12.75" x14ac:dyDescent="0.2">
      <c r="B334" s="2"/>
      <c r="C334" s="167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6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2:34" ht="12.75" x14ac:dyDescent="0.2">
      <c r="B335" s="2"/>
      <c r="C335" s="167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6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2:34" ht="12.75" x14ac:dyDescent="0.2">
      <c r="B336" s="2"/>
      <c r="C336" s="167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6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2:34" ht="12.75" x14ac:dyDescent="0.2">
      <c r="B337" s="2"/>
      <c r="C337" s="167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6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2:34" ht="12.75" x14ac:dyDescent="0.2">
      <c r="B338" s="2"/>
      <c r="C338" s="167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6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2:34" ht="12.75" x14ac:dyDescent="0.2">
      <c r="B339" s="2"/>
      <c r="C339" s="167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6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2:34" ht="12.75" x14ac:dyDescent="0.2">
      <c r="B340" s="2"/>
      <c r="C340" s="167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6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2:34" ht="12.75" x14ac:dyDescent="0.2">
      <c r="B341" s="2"/>
      <c r="C341" s="167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6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2:34" ht="12.75" x14ac:dyDescent="0.2">
      <c r="B342" s="2"/>
      <c r="C342" s="167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6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2:34" ht="12.75" x14ac:dyDescent="0.2">
      <c r="B343" s="2"/>
      <c r="C343" s="167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6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2:34" ht="12.75" x14ac:dyDescent="0.2">
      <c r="B344" s="2"/>
      <c r="C344" s="167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6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2:34" ht="12.75" x14ac:dyDescent="0.2">
      <c r="B345" s="2"/>
      <c r="C345" s="167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6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2:34" ht="12.75" x14ac:dyDescent="0.2">
      <c r="B346" s="2"/>
      <c r="C346" s="167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6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2:34" ht="12.75" x14ac:dyDescent="0.2">
      <c r="B347" s="2"/>
      <c r="C347" s="167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6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2:34" ht="12.75" x14ac:dyDescent="0.2">
      <c r="B348" s="2"/>
      <c r="C348" s="167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6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2:34" ht="12.75" x14ac:dyDescent="0.2">
      <c r="B349" s="2"/>
      <c r="C349" s="167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6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2:34" ht="12.75" x14ac:dyDescent="0.2">
      <c r="B350" s="2"/>
      <c r="C350" s="167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6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2:34" ht="12.75" x14ac:dyDescent="0.2">
      <c r="B351" s="2"/>
      <c r="C351" s="167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6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2:34" ht="12.75" x14ac:dyDescent="0.2">
      <c r="B352" s="2"/>
      <c r="C352" s="167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6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2:34" ht="12.75" x14ac:dyDescent="0.2">
      <c r="B353" s="2"/>
      <c r="C353" s="167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6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2:34" ht="12.75" x14ac:dyDescent="0.2">
      <c r="B354" s="2"/>
      <c r="C354" s="167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6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2:34" ht="12.75" x14ac:dyDescent="0.2">
      <c r="B355" s="2"/>
      <c r="C355" s="167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6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2:34" ht="12.75" x14ac:dyDescent="0.2">
      <c r="B356" s="2"/>
      <c r="C356" s="167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6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2:34" ht="12.75" x14ac:dyDescent="0.2">
      <c r="B357" s="2"/>
      <c r="C357" s="167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6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2:34" ht="12.75" x14ac:dyDescent="0.2">
      <c r="B358" s="2"/>
      <c r="C358" s="167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6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2:34" ht="12.75" x14ac:dyDescent="0.2">
      <c r="B359" s="2"/>
      <c r="C359" s="167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6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2:34" ht="12.75" x14ac:dyDescent="0.2">
      <c r="B360" s="2"/>
      <c r="C360" s="167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6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2:34" ht="12.75" x14ac:dyDescent="0.2">
      <c r="B361" s="2"/>
      <c r="C361" s="167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6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2:34" ht="12.75" x14ac:dyDescent="0.2">
      <c r="B362" s="2"/>
      <c r="C362" s="167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6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2:34" ht="12.75" x14ac:dyDescent="0.2">
      <c r="B363" s="2"/>
      <c r="C363" s="167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6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2:34" ht="12.75" x14ac:dyDescent="0.2">
      <c r="B364" s="2"/>
      <c r="C364" s="167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6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2:34" ht="12.75" x14ac:dyDescent="0.2">
      <c r="B365" s="2"/>
      <c r="C365" s="167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6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2:34" ht="12.75" x14ac:dyDescent="0.2">
      <c r="B366" s="2"/>
      <c r="C366" s="167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6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2:34" ht="12.75" x14ac:dyDescent="0.2">
      <c r="B367" s="2"/>
      <c r="C367" s="167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6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2:34" ht="12.75" x14ac:dyDescent="0.2">
      <c r="B368" s="2"/>
      <c r="C368" s="167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6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2:34" ht="12.75" x14ac:dyDescent="0.2">
      <c r="B369" s="2"/>
      <c r="C369" s="167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6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2:34" ht="12.75" x14ac:dyDescent="0.2">
      <c r="B370" s="2"/>
      <c r="C370" s="167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6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2:34" ht="12.75" x14ac:dyDescent="0.2">
      <c r="B371" s="2"/>
      <c r="C371" s="167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6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2:34" ht="12.75" x14ac:dyDescent="0.2">
      <c r="B372" s="2"/>
      <c r="C372" s="167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6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2:34" ht="12.75" x14ac:dyDescent="0.2">
      <c r="B373" s="2"/>
      <c r="C373" s="167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6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2:34" ht="12.75" x14ac:dyDescent="0.2">
      <c r="B374" s="2"/>
      <c r="C374" s="167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6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2:34" ht="12.75" x14ac:dyDescent="0.2">
      <c r="B375" s="2"/>
      <c r="C375" s="167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6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2:34" ht="12.75" x14ac:dyDescent="0.2">
      <c r="B376" s="2"/>
      <c r="C376" s="167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6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2:34" ht="12.75" x14ac:dyDescent="0.2">
      <c r="B377" s="2"/>
      <c r="C377" s="167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6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2:34" ht="12.75" x14ac:dyDescent="0.2">
      <c r="B378" s="2"/>
      <c r="C378" s="167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6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2:34" ht="12.75" x14ac:dyDescent="0.2">
      <c r="B379" s="2"/>
      <c r="C379" s="167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6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2:34" ht="12.75" x14ac:dyDescent="0.2">
      <c r="B380" s="2"/>
      <c r="C380" s="167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6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2:34" ht="12.75" x14ac:dyDescent="0.2">
      <c r="B381" s="2"/>
      <c r="C381" s="167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6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2:34" ht="12.75" x14ac:dyDescent="0.2">
      <c r="B382" s="2"/>
      <c r="C382" s="167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6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2:34" ht="12.75" x14ac:dyDescent="0.2">
      <c r="B383" s="2"/>
      <c r="C383" s="167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6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2:34" ht="12.75" x14ac:dyDescent="0.2">
      <c r="B384" s="2"/>
      <c r="C384" s="167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6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2:34" ht="12.75" x14ac:dyDescent="0.2">
      <c r="B385" s="2"/>
      <c r="C385" s="167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6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2:34" ht="12.75" x14ac:dyDescent="0.2">
      <c r="B386" s="2"/>
      <c r="C386" s="167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6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2:34" ht="12.75" x14ac:dyDescent="0.2">
      <c r="B387" s="2"/>
      <c r="C387" s="167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6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2:34" ht="12.75" x14ac:dyDescent="0.2">
      <c r="B388" s="2"/>
      <c r="C388" s="167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6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2:34" ht="12.75" x14ac:dyDescent="0.2">
      <c r="B389" s="2"/>
      <c r="C389" s="167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6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2:34" ht="12.75" x14ac:dyDescent="0.2">
      <c r="B390" s="2"/>
      <c r="C390" s="167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6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2:34" ht="12.75" x14ac:dyDescent="0.2">
      <c r="B391" s="2"/>
      <c r="C391" s="167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6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2:34" ht="12.75" x14ac:dyDescent="0.2">
      <c r="B392" s="2"/>
      <c r="C392" s="167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6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2:34" ht="12.75" x14ac:dyDescent="0.2">
      <c r="B393" s="2"/>
      <c r="C393" s="167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6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2:34" ht="12.75" x14ac:dyDescent="0.2">
      <c r="B394" s="2"/>
      <c r="C394" s="167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6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2:34" ht="12.75" x14ac:dyDescent="0.2">
      <c r="B395" s="2"/>
      <c r="C395" s="167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6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2:34" ht="12.75" x14ac:dyDescent="0.2">
      <c r="B396" s="2"/>
      <c r="C396" s="167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6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2:34" ht="12.75" x14ac:dyDescent="0.2">
      <c r="B397" s="2"/>
      <c r="C397" s="167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6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2:34" ht="12.75" x14ac:dyDescent="0.2">
      <c r="B398" s="2"/>
      <c r="C398" s="167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6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2:34" ht="12.75" x14ac:dyDescent="0.2">
      <c r="B399" s="2"/>
      <c r="C399" s="167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6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2:34" ht="12.75" x14ac:dyDescent="0.2">
      <c r="B400" s="2"/>
      <c r="C400" s="167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6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2:34" ht="12.75" x14ac:dyDescent="0.2">
      <c r="B401" s="2"/>
      <c r="C401" s="167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6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2:34" ht="12.75" x14ac:dyDescent="0.2">
      <c r="B402" s="2"/>
      <c r="C402" s="167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6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2:34" ht="12.75" x14ac:dyDescent="0.2">
      <c r="B403" s="2"/>
      <c r="C403" s="167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6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2:34" ht="12.75" x14ac:dyDescent="0.2">
      <c r="B404" s="2"/>
      <c r="C404" s="167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6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2:34" ht="12.75" x14ac:dyDescent="0.2">
      <c r="B405" s="2"/>
      <c r="C405" s="167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6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2:34" ht="12.75" x14ac:dyDescent="0.2">
      <c r="B406" s="2"/>
      <c r="C406" s="167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6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2:34" ht="12.75" x14ac:dyDescent="0.2">
      <c r="B407" s="2"/>
      <c r="C407" s="167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6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2:34" ht="12.75" x14ac:dyDescent="0.2">
      <c r="B408" s="2"/>
      <c r="C408" s="167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6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2:34" ht="12.75" x14ac:dyDescent="0.2">
      <c r="B409" s="2"/>
      <c r="C409" s="167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6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2:34" ht="12.75" x14ac:dyDescent="0.2">
      <c r="B410" s="2"/>
      <c r="C410" s="167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6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2:34" ht="12.75" x14ac:dyDescent="0.2">
      <c r="B411" s="2"/>
      <c r="C411" s="167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6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2:34" ht="12.75" x14ac:dyDescent="0.2">
      <c r="B412" s="2"/>
      <c r="C412" s="167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6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2:34" ht="12.75" x14ac:dyDescent="0.2">
      <c r="B413" s="2"/>
      <c r="C413" s="167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6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2:34" ht="12.75" x14ac:dyDescent="0.2">
      <c r="B414" s="2"/>
      <c r="C414" s="167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6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2:34" ht="12.75" x14ac:dyDescent="0.2">
      <c r="B415" s="2"/>
      <c r="C415" s="167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6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2:34" ht="12.75" x14ac:dyDescent="0.2">
      <c r="B416" s="2"/>
      <c r="C416" s="167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6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2:34" ht="12.75" x14ac:dyDescent="0.2">
      <c r="B417" s="2"/>
      <c r="C417" s="167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6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2:34" ht="12.75" x14ac:dyDescent="0.2">
      <c r="B418" s="2"/>
      <c r="C418" s="167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6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2:34" ht="12.75" x14ac:dyDescent="0.2">
      <c r="B419" s="2"/>
      <c r="C419" s="167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6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2:34" ht="12.75" x14ac:dyDescent="0.2">
      <c r="B420" s="2"/>
      <c r="C420" s="167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6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2:34" ht="12.75" x14ac:dyDescent="0.2">
      <c r="B421" s="2"/>
      <c r="C421" s="167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6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2:34" ht="12.75" x14ac:dyDescent="0.2">
      <c r="B422" s="2"/>
      <c r="C422" s="167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6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2:34" ht="12.75" x14ac:dyDescent="0.2">
      <c r="B423" s="2"/>
      <c r="C423" s="167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6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2:34" ht="12.75" x14ac:dyDescent="0.2">
      <c r="B424" s="2"/>
      <c r="C424" s="167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6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2:34" ht="12.75" x14ac:dyDescent="0.2">
      <c r="B425" s="2"/>
      <c r="C425" s="167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6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2:34" ht="12.75" x14ac:dyDescent="0.2">
      <c r="B426" s="2"/>
      <c r="C426" s="167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6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2:34" ht="12.75" x14ac:dyDescent="0.2">
      <c r="B427" s="2"/>
      <c r="C427" s="167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6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2:34" ht="12.75" x14ac:dyDescent="0.2">
      <c r="B428" s="2"/>
      <c r="C428" s="167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6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2:34" ht="12.75" x14ac:dyDescent="0.2">
      <c r="B429" s="2"/>
      <c r="C429" s="167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6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2:34" ht="12.75" x14ac:dyDescent="0.2">
      <c r="B430" s="2"/>
      <c r="C430" s="167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6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2:34" ht="12.75" x14ac:dyDescent="0.2">
      <c r="B431" s="2"/>
      <c r="C431" s="167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6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2:34" ht="12.75" x14ac:dyDescent="0.2">
      <c r="B432" s="2"/>
      <c r="C432" s="167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6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2:34" ht="12.75" x14ac:dyDescent="0.2">
      <c r="B433" s="2"/>
      <c r="C433" s="167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6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2:34" ht="12.75" x14ac:dyDescent="0.2">
      <c r="B434" s="2"/>
      <c r="C434" s="167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6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2:34" ht="12.75" x14ac:dyDescent="0.2">
      <c r="B435" s="2"/>
      <c r="C435" s="167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6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2:34" ht="12.75" x14ac:dyDescent="0.2">
      <c r="B436" s="2"/>
      <c r="C436" s="167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6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2:34" ht="12.75" x14ac:dyDescent="0.2">
      <c r="B437" s="2"/>
      <c r="C437" s="167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6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2:34" ht="12.75" x14ac:dyDescent="0.2">
      <c r="B438" s="2"/>
      <c r="C438" s="167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6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2:34" ht="12.75" x14ac:dyDescent="0.2">
      <c r="B439" s="2"/>
      <c r="C439" s="167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6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2:34" ht="12.75" x14ac:dyDescent="0.2">
      <c r="B440" s="2"/>
      <c r="C440" s="167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6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2:34" ht="12.75" x14ac:dyDescent="0.2">
      <c r="B441" s="2"/>
      <c r="C441" s="167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6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2:34" ht="12.75" x14ac:dyDescent="0.2">
      <c r="B442" s="2"/>
      <c r="C442" s="167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6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2:34" ht="12.75" x14ac:dyDescent="0.2">
      <c r="B443" s="2"/>
      <c r="C443" s="167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6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2:34" ht="12.75" x14ac:dyDescent="0.2">
      <c r="B444" s="2"/>
      <c r="C444" s="167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6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2:34" ht="12.75" x14ac:dyDescent="0.2">
      <c r="B445" s="2"/>
      <c r="C445" s="167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6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2:34" ht="12.75" x14ac:dyDescent="0.2">
      <c r="B446" s="2"/>
      <c r="C446" s="167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6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2:34" ht="12.75" x14ac:dyDescent="0.2">
      <c r="B447" s="2"/>
      <c r="C447" s="167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6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2:34" ht="12.75" x14ac:dyDescent="0.2">
      <c r="B448" s="2"/>
      <c r="C448" s="167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6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2:34" ht="12.75" x14ac:dyDescent="0.2">
      <c r="B449" s="2"/>
      <c r="C449" s="167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6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2:34" ht="12.75" x14ac:dyDescent="0.2">
      <c r="B450" s="2"/>
      <c r="C450" s="167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6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2:34" ht="12.75" x14ac:dyDescent="0.2">
      <c r="B451" s="2"/>
      <c r="C451" s="167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6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2:34" ht="12.75" x14ac:dyDescent="0.2">
      <c r="B452" s="2"/>
      <c r="C452" s="167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6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2:34" ht="12.75" x14ac:dyDescent="0.2">
      <c r="B453" s="2"/>
      <c r="C453" s="167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6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2:34" ht="12.75" x14ac:dyDescent="0.2">
      <c r="B454" s="2"/>
      <c r="C454" s="167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6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2:34" ht="12.75" x14ac:dyDescent="0.2">
      <c r="B455" s="2"/>
      <c r="C455" s="167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6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2:34" ht="12.75" x14ac:dyDescent="0.2">
      <c r="B456" s="2"/>
      <c r="C456" s="167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6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2:34" ht="12.75" x14ac:dyDescent="0.2">
      <c r="B457" s="2"/>
      <c r="C457" s="167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6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2:34" ht="12.75" x14ac:dyDescent="0.2">
      <c r="B458" s="2"/>
      <c r="C458" s="167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6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2:34" ht="12.75" x14ac:dyDescent="0.2">
      <c r="B459" s="2"/>
      <c r="C459" s="167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6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2:34" ht="12.75" x14ac:dyDescent="0.2">
      <c r="B460" s="2"/>
      <c r="C460" s="167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6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2:34" ht="12.75" x14ac:dyDescent="0.2">
      <c r="B461" s="2"/>
      <c r="C461" s="167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6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2:34" ht="12.75" x14ac:dyDescent="0.2">
      <c r="B462" s="2"/>
      <c r="C462" s="167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6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2:34" ht="12.75" x14ac:dyDescent="0.2">
      <c r="B463" s="2"/>
      <c r="C463" s="167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6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2:34" ht="12.75" x14ac:dyDescent="0.2">
      <c r="B464" s="2"/>
      <c r="C464" s="167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6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2:34" ht="12.75" x14ac:dyDescent="0.2">
      <c r="B465" s="2"/>
      <c r="C465" s="167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6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2:34" ht="12.75" x14ac:dyDescent="0.2">
      <c r="B466" s="2"/>
      <c r="C466" s="167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6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2:34" ht="12.75" x14ac:dyDescent="0.2">
      <c r="B467" s="2"/>
      <c r="C467" s="167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6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2:34" ht="12.75" x14ac:dyDescent="0.2">
      <c r="B468" s="2"/>
      <c r="C468" s="167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6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2:34" ht="12.75" x14ac:dyDescent="0.2">
      <c r="B469" s="2"/>
      <c r="C469" s="167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6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2:34" ht="12.75" x14ac:dyDescent="0.2">
      <c r="B470" s="2"/>
      <c r="C470" s="167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6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2:34" ht="12.75" x14ac:dyDescent="0.2">
      <c r="B471" s="2"/>
      <c r="C471" s="167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6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2:34" ht="12.75" x14ac:dyDescent="0.2">
      <c r="B472" s="2"/>
      <c r="C472" s="167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6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2:34" ht="12.75" x14ac:dyDescent="0.2">
      <c r="B473" s="2"/>
      <c r="C473" s="167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6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2:34" ht="12.75" x14ac:dyDescent="0.2">
      <c r="B474" s="2"/>
      <c r="C474" s="167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6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2:34" ht="12.75" x14ac:dyDescent="0.2">
      <c r="B475" s="2"/>
      <c r="C475" s="167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6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2:34" ht="12.75" x14ac:dyDescent="0.2">
      <c r="B476" s="2"/>
      <c r="C476" s="167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6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2:34" ht="12.75" x14ac:dyDescent="0.2">
      <c r="B477" s="2"/>
      <c r="C477" s="167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6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2:34" ht="12.75" x14ac:dyDescent="0.2">
      <c r="B478" s="2"/>
      <c r="C478" s="167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6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2:34" ht="12.75" x14ac:dyDescent="0.2">
      <c r="B479" s="2"/>
      <c r="C479" s="167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6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2:34" ht="12.75" x14ac:dyDescent="0.2">
      <c r="B480" s="2"/>
      <c r="C480" s="167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6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2:34" ht="12.75" x14ac:dyDescent="0.2">
      <c r="B481" s="2"/>
      <c r="C481" s="167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6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2:34" ht="12.75" x14ac:dyDescent="0.2">
      <c r="B482" s="2"/>
      <c r="C482" s="167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6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2:34" ht="12.75" x14ac:dyDescent="0.2">
      <c r="B483" s="2"/>
      <c r="C483" s="167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6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2:34" ht="12.75" x14ac:dyDescent="0.2">
      <c r="B484" s="2"/>
      <c r="C484" s="167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6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2:34" ht="12.75" x14ac:dyDescent="0.2">
      <c r="B485" s="2"/>
      <c r="C485" s="167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6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2:34" ht="12.75" x14ac:dyDescent="0.2">
      <c r="B486" s="2"/>
      <c r="C486" s="167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6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2:34" ht="12.75" x14ac:dyDescent="0.2">
      <c r="B487" s="2"/>
      <c r="C487" s="167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6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2:34" ht="12.75" x14ac:dyDescent="0.2">
      <c r="B488" s="2"/>
      <c r="C488" s="167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6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2:34" ht="12.75" x14ac:dyDescent="0.2">
      <c r="B489" s="2"/>
      <c r="C489" s="167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6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2:34" ht="12.75" x14ac:dyDescent="0.2">
      <c r="B490" s="2"/>
      <c r="C490" s="167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6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2:34" ht="12.75" x14ac:dyDescent="0.2">
      <c r="B491" s="2"/>
      <c r="C491" s="167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6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2:34" ht="12.75" x14ac:dyDescent="0.2">
      <c r="B492" s="2"/>
      <c r="C492" s="167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6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2:34" ht="12.75" x14ac:dyDescent="0.2">
      <c r="B493" s="2"/>
      <c r="C493" s="167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6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2:34" ht="12.75" x14ac:dyDescent="0.2">
      <c r="B494" s="2"/>
      <c r="C494" s="167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6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2:34" ht="12.75" x14ac:dyDescent="0.2">
      <c r="B495" s="2"/>
      <c r="C495" s="167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6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2:34" ht="12.75" x14ac:dyDescent="0.2">
      <c r="B496" s="2"/>
      <c r="C496" s="167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6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2:34" ht="12.75" x14ac:dyDescent="0.2">
      <c r="B497" s="2"/>
      <c r="C497" s="167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6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2:34" ht="12.75" x14ac:dyDescent="0.2">
      <c r="B498" s="2"/>
      <c r="C498" s="167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6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2:34" ht="12.75" x14ac:dyDescent="0.2">
      <c r="B499" s="2"/>
      <c r="C499" s="167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6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2:34" ht="12.75" x14ac:dyDescent="0.2">
      <c r="B500" s="2"/>
      <c r="C500" s="167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6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2:34" ht="12.75" x14ac:dyDescent="0.2">
      <c r="B501" s="2"/>
      <c r="C501" s="167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6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2:34" ht="12.75" x14ac:dyDescent="0.2">
      <c r="B502" s="2"/>
      <c r="C502" s="167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6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2:34" ht="12.75" x14ac:dyDescent="0.2">
      <c r="B503" s="2"/>
      <c r="C503" s="167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6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2:34" ht="12.75" x14ac:dyDescent="0.2">
      <c r="B504" s="2"/>
      <c r="C504" s="167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6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2:34" ht="12.75" x14ac:dyDescent="0.2">
      <c r="B505" s="2"/>
      <c r="C505" s="167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6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2:34" ht="12.75" x14ac:dyDescent="0.2">
      <c r="B506" s="2"/>
      <c r="C506" s="167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6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2:34" ht="12.75" x14ac:dyDescent="0.2">
      <c r="B507" s="2"/>
      <c r="C507" s="167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6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2:34" ht="12.75" x14ac:dyDescent="0.2">
      <c r="B508" s="2"/>
      <c r="C508" s="167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6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2:34" ht="12.75" x14ac:dyDescent="0.2">
      <c r="B509" s="2"/>
      <c r="C509" s="167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6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2:34" ht="12.75" x14ac:dyDescent="0.2">
      <c r="B510" s="2"/>
      <c r="C510" s="167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6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2:34" ht="12.75" x14ac:dyDescent="0.2">
      <c r="B511" s="2"/>
      <c r="C511" s="167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6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2:34" ht="12.75" x14ac:dyDescent="0.2">
      <c r="B512" s="2"/>
      <c r="C512" s="167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6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2:34" ht="12.75" x14ac:dyDescent="0.2">
      <c r="B513" s="2"/>
      <c r="C513" s="167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6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2:34" ht="12.75" x14ac:dyDescent="0.2">
      <c r="B514" s="2"/>
      <c r="C514" s="167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6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2:34" ht="12.75" x14ac:dyDescent="0.2">
      <c r="B515" s="2"/>
      <c r="C515" s="167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6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2:34" ht="12.75" x14ac:dyDescent="0.2">
      <c r="B516" s="2"/>
      <c r="C516" s="167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6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2:34" ht="12.75" x14ac:dyDescent="0.2">
      <c r="B517" s="2"/>
      <c r="C517" s="167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6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2:34" ht="12.75" x14ac:dyDescent="0.2">
      <c r="B518" s="2"/>
      <c r="C518" s="167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6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2:34" ht="12.75" x14ac:dyDescent="0.2">
      <c r="B519" s="2"/>
      <c r="C519" s="167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6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2:34" ht="12.75" x14ac:dyDescent="0.2">
      <c r="B520" s="2"/>
      <c r="C520" s="167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6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2:34" ht="12.75" x14ac:dyDescent="0.2">
      <c r="B521" s="2"/>
      <c r="C521" s="167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6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2:34" ht="12.75" x14ac:dyDescent="0.2">
      <c r="B522" s="2"/>
      <c r="C522" s="167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6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2:34" ht="12.75" x14ac:dyDescent="0.2">
      <c r="B523" s="2"/>
      <c r="C523" s="167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6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2:34" ht="12.75" x14ac:dyDescent="0.2">
      <c r="B524" s="2"/>
      <c r="C524" s="167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6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2:34" ht="12.75" x14ac:dyDescent="0.2">
      <c r="B525" s="2"/>
      <c r="C525" s="167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6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2:34" ht="12.75" x14ac:dyDescent="0.2">
      <c r="B526" s="2"/>
      <c r="C526" s="167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6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2:34" ht="12.75" x14ac:dyDescent="0.2">
      <c r="B527" s="2"/>
      <c r="C527" s="167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6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2:34" ht="12.75" x14ac:dyDescent="0.2">
      <c r="B528" s="2"/>
      <c r="C528" s="167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6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2:34" ht="12.75" x14ac:dyDescent="0.2">
      <c r="B529" s="2"/>
      <c r="C529" s="167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6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2:34" ht="12.75" x14ac:dyDescent="0.2">
      <c r="B530" s="2"/>
      <c r="C530" s="167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6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2:34" ht="12.75" x14ac:dyDescent="0.2">
      <c r="B531" s="2"/>
      <c r="C531" s="167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6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2:34" ht="12.75" x14ac:dyDescent="0.2">
      <c r="B532" s="2"/>
      <c r="C532" s="167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6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2:34" ht="12.75" x14ac:dyDescent="0.2">
      <c r="B533" s="2"/>
      <c r="C533" s="167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6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2:34" ht="12.75" x14ac:dyDescent="0.2">
      <c r="B534" s="2"/>
      <c r="C534" s="167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6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2:34" ht="12.75" x14ac:dyDescent="0.2">
      <c r="B535" s="2"/>
      <c r="C535" s="167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6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2:34" ht="12.75" x14ac:dyDescent="0.2">
      <c r="B536" s="2"/>
      <c r="C536" s="167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6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2:34" ht="12.75" x14ac:dyDescent="0.2">
      <c r="B537" s="2"/>
      <c r="C537" s="167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6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2:34" ht="12.75" x14ac:dyDescent="0.2">
      <c r="B538" s="2"/>
      <c r="C538" s="167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6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2:34" ht="12.75" x14ac:dyDescent="0.2">
      <c r="B539" s="2"/>
      <c r="C539" s="167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6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2:34" ht="12.75" x14ac:dyDescent="0.2">
      <c r="B540" s="2"/>
      <c r="C540" s="167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6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2:34" ht="12.75" x14ac:dyDescent="0.2">
      <c r="B541" s="2"/>
      <c r="C541" s="167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6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2:34" ht="12.75" x14ac:dyDescent="0.2">
      <c r="B542" s="2"/>
      <c r="C542" s="167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6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2:34" ht="12.75" x14ac:dyDescent="0.2">
      <c r="B543" s="2"/>
      <c r="C543" s="167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6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2:34" ht="12.75" x14ac:dyDescent="0.2">
      <c r="B544" s="2"/>
      <c r="C544" s="167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6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2:34" ht="12.75" x14ac:dyDescent="0.2">
      <c r="B545" s="2"/>
      <c r="C545" s="167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6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2:34" ht="12.75" x14ac:dyDescent="0.2">
      <c r="B546" s="2"/>
      <c r="C546" s="167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6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2:34" ht="12.75" x14ac:dyDescent="0.2">
      <c r="B547" s="2"/>
      <c r="C547" s="167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6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2:34" ht="12.75" x14ac:dyDescent="0.2">
      <c r="B548" s="2"/>
      <c r="C548" s="167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6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2:34" ht="12.75" x14ac:dyDescent="0.2">
      <c r="B549" s="2"/>
      <c r="C549" s="167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6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2:34" ht="12.75" x14ac:dyDescent="0.2">
      <c r="B550" s="2"/>
      <c r="C550" s="167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6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2:34" ht="12.75" x14ac:dyDescent="0.2">
      <c r="B551" s="2"/>
      <c r="C551" s="167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6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2:34" ht="12.75" x14ac:dyDescent="0.2">
      <c r="B552" s="2"/>
      <c r="C552" s="167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6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2:34" ht="12.75" x14ac:dyDescent="0.2">
      <c r="B553" s="2"/>
      <c r="C553" s="167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6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2:34" ht="12.75" x14ac:dyDescent="0.2">
      <c r="B554" s="2"/>
      <c r="C554" s="167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6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2:34" ht="12.75" x14ac:dyDescent="0.2">
      <c r="B555" s="2"/>
      <c r="C555" s="167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6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2:34" ht="12.75" x14ac:dyDescent="0.2">
      <c r="B556" s="2"/>
      <c r="C556" s="167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6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2:34" ht="12.75" x14ac:dyDescent="0.2">
      <c r="B557" s="2"/>
      <c r="C557" s="167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6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2:34" ht="12.75" x14ac:dyDescent="0.2">
      <c r="B558" s="2"/>
      <c r="C558" s="167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6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2:34" ht="12.75" x14ac:dyDescent="0.2">
      <c r="B559" s="2"/>
      <c r="C559" s="167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6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2:34" ht="12.75" x14ac:dyDescent="0.2">
      <c r="B560" s="2"/>
      <c r="C560" s="167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6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2:34" ht="12.75" x14ac:dyDescent="0.2">
      <c r="B561" s="2"/>
      <c r="C561" s="167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6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2:34" ht="12.75" x14ac:dyDescent="0.2">
      <c r="B562" s="2"/>
      <c r="C562" s="167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6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2:34" ht="12.75" x14ac:dyDescent="0.2">
      <c r="B563" s="2"/>
      <c r="C563" s="167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6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2:34" ht="12.75" x14ac:dyDescent="0.2">
      <c r="B564" s="2"/>
      <c r="C564" s="167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6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2:34" ht="12.75" x14ac:dyDescent="0.2">
      <c r="B565" s="2"/>
      <c r="C565" s="167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6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2:34" ht="12.75" x14ac:dyDescent="0.2">
      <c r="B566" s="2"/>
      <c r="C566" s="167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6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2:34" ht="12.75" x14ac:dyDescent="0.2">
      <c r="B567" s="2"/>
      <c r="C567" s="167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6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2:34" ht="12.75" x14ac:dyDescent="0.2">
      <c r="B568" s="2"/>
      <c r="C568" s="167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6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2:34" ht="12.75" x14ac:dyDescent="0.2">
      <c r="B569" s="2"/>
      <c r="C569" s="167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6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2:34" ht="12.75" x14ac:dyDescent="0.2">
      <c r="B570" s="2"/>
      <c r="C570" s="167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6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2:34" ht="12.75" x14ac:dyDescent="0.2">
      <c r="B571" s="2"/>
      <c r="C571" s="167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6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2:34" ht="12.75" x14ac:dyDescent="0.2">
      <c r="B572" s="2"/>
      <c r="C572" s="167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6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2:34" ht="12.75" x14ac:dyDescent="0.2">
      <c r="B573" s="2"/>
      <c r="C573" s="167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6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2:34" ht="12.75" x14ac:dyDescent="0.2">
      <c r="B574" s="2"/>
      <c r="C574" s="167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6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2:34" ht="12.75" x14ac:dyDescent="0.2">
      <c r="B575" s="2"/>
      <c r="C575" s="167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6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2:34" ht="12.75" x14ac:dyDescent="0.2">
      <c r="B576" s="2"/>
      <c r="C576" s="167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6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2:34" ht="12.75" x14ac:dyDescent="0.2">
      <c r="B577" s="2"/>
      <c r="C577" s="167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6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2:34" ht="12.75" x14ac:dyDescent="0.2">
      <c r="B578" s="2"/>
      <c r="C578" s="167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6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2:34" ht="12.75" x14ac:dyDescent="0.2">
      <c r="B579" s="2"/>
      <c r="C579" s="167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6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2:34" ht="12.75" x14ac:dyDescent="0.2">
      <c r="B580" s="2"/>
      <c r="C580" s="167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6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2:34" ht="12.75" x14ac:dyDescent="0.2">
      <c r="B581" s="2"/>
      <c r="C581" s="167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6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2:34" ht="12.75" x14ac:dyDescent="0.2">
      <c r="B582" s="2"/>
      <c r="C582" s="167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6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2:34" ht="12.75" x14ac:dyDescent="0.2">
      <c r="B583" s="2"/>
      <c r="C583" s="167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6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2:34" ht="12.75" x14ac:dyDescent="0.2">
      <c r="B584" s="2"/>
      <c r="C584" s="167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6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2:34" ht="12.75" x14ac:dyDescent="0.2">
      <c r="B585" s="2"/>
      <c r="C585" s="167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6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2:34" ht="12.75" x14ac:dyDescent="0.2">
      <c r="B586" s="2"/>
      <c r="C586" s="167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6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2:34" ht="12.75" x14ac:dyDescent="0.2">
      <c r="B587" s="2"/>
      <c r="C587" s="167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6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2:34" ht="12.75" x14ac:dyDescent="0.2">
      <c r="B588" s="2"/>
      <c r="C588" s="167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6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2:34" ht="12.75" x14ac:dyDescent="0.2">
      <c r="B589" s="2"/>
      <c r="C589" s="167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6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2:34" ht="12.75" x14ac:dyDescent="0.2">
      <c r="B590" s="2"/>
      <c r="C590" s="167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6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2:34" ht="12.75" x14ac:dyDescent="0.2">
      <c r="B591" s="2"/>
      <c r="C591" s="167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6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2:34" ht="12.75" x14ac:dyDescent="0.2">
      <c r="B592" s="2"/>
      <c r="C592" s="167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6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2:34" ht="12.75" x14ac:dyDescent="0.2">
      <c r="B593" s="2"/>
      <c r="C593" s="167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6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2:34" ht="12.75" x14ac:dyDescent="0.2">
      <c r="B594" s="2"/>
      <c r="C594" s="167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6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2:34" ht="12.75" x14ac:dyDescent="0.2">
      <c r="B595" s="2"/>
      <c r="C595" s="167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6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2:34" ht="12.75" x14ac:dyDescent="0.2">
      <c r="B596" s="2"/>
      <c r="C596" s="167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6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2:34" ht="12.75" x14ac:dyDescent="0.2">
      <c r="B597" s="2"/>
      <c r="C597" s="167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6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2:34" ht="12.75" x14ac:dyDescent="0.2">
      <c r="B598" s="2"/>
      <c r="C598" s="167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6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2:34" ht="12.75" x14ac:dyDescent="0.2">
      <c r="B599" s="2"/>
      <c r="C599" s="167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6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2:34" ht="12.75" x14ac:dyDescent="0.2">
      <c r="B600" s="2"/>
      <c r="C600" s="167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6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2:34" ht="12.75" x14ac:dyDescent="0.2">
      <c r="B601" s="2"/>
      <c r="C601" s="167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6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2:34" ht="12.75" x14ac:dyDescent="0.2">
      <c r="B602" s="2"/>
      <c r="C602" s="167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6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2:34" ht="12.75" x14ac:dyDescent="0.2">
      <c r="B603" s="2"/>
      <c r="C603" s="167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6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2:34" ht="12.75" x14ac:dyDescent="0.2">
      <c r="B604" s="2"/>
      <c r="C604" s="167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6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2:34" ht="12.75" x14ac:dyDescent="0.2">
      <c r="B605" s="2"/>
      <c r="C605" s="167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6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2:34" ht="12.75" x14ac:dyDescent="0.2">
      <c r="B606" s="2"/>
      <c r="C606" s="167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6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2:34" ht="12.75" x14ac:dyDescent="0.2">
      <c r="B607" s="2"/>
      <c r="C607" s="167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6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2:34" ht="12.75" x14ac:dyDescent="0.2">
      <c r="B608" s="2"/>
      <c r="C608" s="167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6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2:34" ht="12.75" x14ac:dyDescent="0.2">
      <c r="B609" s="2"/>
      <c r="C609" s="167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6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2:34" ht="12.75" x14ac:dyDescent="0.2">
      <c r="B610" s="2"/>
      <c r="C610" s="167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6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2:34" ht="12.75" x14ac:dyDescent="0.2">
      <c r="B611" s="2"/>
      <c r="C611" s="167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6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2:34" ht="12.75" x14ac:dyDescent="0.2">
      <c r="B612" s="2"/>
      <c r="C612" s="167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6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2:34" ht="12.75" x14ac:dyDescent="0.2">
      <c r="B613" s="2"/>
      <c r="C613" s="167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6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2:34" ht="12.75" x14ac:dyDescent="0.2">
      <c r="B614" s="2"/>
      <c r="C614" s="167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6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2:34" ht="12.75" x14ac:dyDescent="0.2">
      <c r="B615" s="2"/>
      <c r="C615" s="167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6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2:34" ht="12.75" x14ac:dyDescent="0.2">
      <c r="B616" s="2"/>
      <c r="C616" s="167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6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2:34" ht="12.75" x14ac:dyDescent="0.2">
      <c r="B617" s="2"/>
      <c r="C617" s="167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6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2:34" ht="12.75" x14ac:dyDescent="0.2">
      <c r="B618" s="2"/>
      <c r="C618" s="167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6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2:34" ht="12.75" x14ac:dyDescent="0.2">
      <c r="B619" s="2"/>
      <c r="C619" s="167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6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2:34" ht="12.75" x14ac:dyDescent="0.2">
      <c r="B620" s="2"/>
      <c r="C620" s="167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6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2:34" ht="12.75" x14ac:dyDescent="0.2">
      <c r="B621" s="2"/>
      <c r="C621" s="167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6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2:34" ht="12.75" x14ac:dyDescent="0.2">
      <c r="B622" s="2"/>
      <c r="C622" s="167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6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2:34" ht="12.75" x14ac:dyDescent="0.2">
      <c r="B623" s="2"/>
      <c r="C623" s="167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6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2:34" ht="12.75" x14ac:dyDescent="0.2">
      <c r="B624" s="2"/>
      <c r="C624" s="167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6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2:34" ht="12.75" x14ac:dyDescent="0.2">
      <c r="B625" s="2"/>
      <c r="C625" s="167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6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2:34" ht="12.75" x14ac:dyDescent="0.2">
      <c r="B626" s="2"/>
      <c r="C626" s="167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6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2:34" ht="12.75" x14ac:dyDescent="0.2">
      <c r="B627" s="2"/>
      <c r="C627" s="167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6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2:34" ht="12.75" x14ac:dyDescent="0.2">
      <c r="B628" s="2"/>
      <c r="C628" s="167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6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2:34" ht="12.75" x14ac:dyDescent="0.2">
      <c r="B629" s="2"/>
      <c r="C629" s="167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6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2:34" ht="12.75" x14ac:dyDescent="0.2">
      <c r="B630" s="2"/>
      <c r="C630" s="167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6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2:34" ht="12.75" x14ac:dyDescent="0.2">
      <c r="B631" s="2"/>
      <c r="C631" s="167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6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2:34" ht="12.75" x14ac:dyDescent="0.2">
      <c r="B632" s="2"/>
      <c r="C632" s="167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6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2:34" ht="12.75" x14ac:dyDescent="0.2">
      <c r="B633" s="2"/>
      <c r="C633" s="167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6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2:34" ht="12.75" x14ac:dyDescent="0.2">
      <c r="B634" s="2"/>
      <c r="C634" s="167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6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2:34" ht="12.75" x14ac:dyDescent="0.2">
      <c r="B635" s="2"/>
      <c r="C635" s="167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6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2:34" ht="12.75" x14ac:dyDescent="0.2">
      <c r="B636" s="2"/>
      <c r="C636" s="167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6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2:34" ht="12.75" x14ac:dyDescent="0.2">
      <c r="B637" s="2"/>
      <c r="C637" s="167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6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2:34" ht="12.75" x14ac:dyDescent="0.2">
      <c r="B638" s="2"/>
      <c r="C638" s="167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6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2:34" ht="12.75" x14ac:dyDescent="0.2">
      <c r="B639" s="2"/>
      <c r="C639" s="167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6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2:34" ht="12.75" x14ac:dyDescent="0.2">
      <c r="B640" s="2"/>
      <c r="C640" s="167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6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2:34" ht="12.75" x14ac:dyDescent="0.2">
      <c r="B641" s="2"/>
      <c r="C641" s="167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6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2:34" ht="12.75" x14ac:dyDescent="0.2">
      <c r="B642" s="2"/>
      <c r="C642" s="167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6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2:34" ht="12.75" x14ac:dyDescent="0.2">
      <c r="B643" s="2"/>
      <c r="C643" s="167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6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2:34" ht="12.75" x14ac:dyDescent="0.2">
      <c r="B644" s="2"/>
      <c r="C644" s="167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6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2:34" ht="12.75" x14ac:dyDescent="0.2">
      <c r="B645" s="2"/>
      <c r="C645" s="167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6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2:34" ht="12.75" x14ac:dyDescent="0.2">
      <c r="B646" s="2"/>
      <c r="C646" s="167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6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2:34" ht="12.75" x14ac:dyDescent="0.2">
      <c r="B647" s="2"/>
      <c r="C647" s="167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6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2:34" ht="12.75" x14ac:dyDescent="0.2">
      <c r="B648" s="2"/>
      <c r="C648" s="167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6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2:34" ht="12.75" x14ac:dyDescent="0.2">
      <c r="B649" s="2"/>
      <c r="C649" s="167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6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2:34" ht="12.75" x14ac:dyDescent="0.2">
      <c r="B650" s="2"/>
      <c r="C650" s="167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6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2:34" ht="12.75" x14ac:dyDescent="0.2">
      <c r="B651" s="2"/>
      <c r="C651" s="167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6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2:34" ht="12.75" x14ac:dyDescent="0.2">
      <c r="B652" s="2"/>
      <c r="C652" s="167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6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2:34" ht="12.75" x14ac:dyDescent="0.2">
      <c r="B653" s="2"/>
      <c r="C653" s="167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6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2:34" ht="12.75" x14ac:dyDescent="0.2">
      <c r="B654" s="2"/>
      <c r="C654" s="167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6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2:34" ht="12.75" x14ac:dyDescent="0.2">
      <c r="B655" s="2"/>
      <c r="C655" s="167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6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2:34" ht="12.75" x14ac:dyDescent="0.2">
      <c r="B656" s="2"/>
      <c r="C656" s="167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6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2:34" ht="12.75" x14ac:dyDescent="0.2">
      <c r="B657" s="2"/>
      <c r="C657" s="167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6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2:34" ht="12.75" x14ac:dyDescent="0.2">
      <c r="B658" s="2"/>
      <c r="C658" s="167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6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2:34" ht="12.75" x14ac:dyDescent="0.2">
      <c r="B659" s="2"/>
      <c r="C659" s="167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6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2:34" ht="12.75" x14ac:dyDescent="0.2">
      <c r="B660" s="2"/>
      <c r="C660" s="167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6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2:34" ht="12.75" x14ac:dyDescent="0.2">
      <c r="B661" s="2"/>
      <c r="C661" s="167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6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2:34" ht="12.75" x14ac:dyDescent="0.2">
      <c r="B662" s="2"/>
      <c r="C662" s="167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6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2:34" ht="12.75" x14ac:dyDescent="0.2">
      <c r="B663" s="2"/>
      <c r="C663" s="167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6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2:34" ht="12.75" x14ac:dyDescent="0.2">
      <c r="B664" s="2"/>
      <c r="C664" s="167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6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2:34" ht="12.75" x14ac:dyDescent="0.2">
      <c r="B665" s="2"/>
      <c r="C665" s="167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6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2:34" ht="12.75" x14ac:dyDescent="0.2">
      <c r="B666" s="2"/>
      <c r="C666" s="167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6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2:34" ht="12.75" x14ac:dyDescent="0.2">
      <c r="B667" s="2"/>
      <c r="C667" s="167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6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2:34" ht="12.75" x14ac:dyDescent="0.2">
      <c r="B668" s="2"/>
      <c r="C668" s="167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6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2:34" ht="12.75" x14ac:dyDescent="0.2">
      <c r="B669" s="2"/>
      <c r="C669" s="167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6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2:34" ht="12.75" x14ac:dyDescent="0.2">
      <c r="B670" s="2"/>
      <c r="C670" s="167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6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2:34" ht="12.75" x14ac:dyDescent="0.2">
      <c r="B671" s="2"/>
      <c r="C671" s="167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6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2:34" ht="12.75" x14ac:dyDescent="0.2">
      <c r="B672" s="2"/>
      <c r="C672" s="167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6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2:34" ht="12.75" x14ac:dyDescent="0.2">
      <c r="B673" s="2"/>
      <c r="C673" s="167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6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2:34" ht="12.75" x14ac:dyDescent="0.2">
      <c r="B674" s="2"/>
      <c r="C674" s="167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6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2:34" ht="12.75" x14ac:dyDescent="0.2">
      <c r="B675" s="2"/>
      <c r="C675" s="167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6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2:34" ht="12.75" x14ac:dyDescent="0.2">
      <c r="B676" s="2"/>
      <c r="C676" s="167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6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2:34" ht="12.75" x14ac:dyDescent="0.2">
      <c r="B677" s="2"/>
      <c r="C677" s="167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6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2:34" ht="12.75" x14ac:dyDescent="0.2">
      <c r="B678" s="2"/>
      <c r="C678" s="167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6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2:34" ht="12.75" x14ac:dyDescent="0.2">
      <c r="B679" s="2"/>
      <c r="C679" s="167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6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2:34" ht="12.75" x14ac:dyDescent="0.2">
      <c r="B680" s="2"/>
      <c r="C680" s="167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6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2:34" ht="12.75" x14ac:dyDescent="0.2">
      <c r="B681" s="2"/>
      <c r="C681" s="167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6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2:34" ht="12.75" x14ac:dyDescent="0.2">
      <c r="B682" s="2"/>
      <c r="C682" s="167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6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2:34" ht="12.75" x14ac:dyDescent="0.2">
      <c r="B683" s="2"/>
      <c r="C683" s="167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6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2:34" ht="12.75" x14ac:dyDescent="0.2">
      <c r="B684" s="2"/>
      <c r="C684" s="167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6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2:34" ht="12.75" x14ac:dyDescent="0.2">
      <c r="B685" s="2"/>
      <c r="C685" s="167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6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2:34" ht="12.75" x14ac:dyDescent="0.2">
      <c r="B686" s="2"/>
      <c r="C686" s="167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6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2:34" ht="12.75" x14ac:dyDescent="0.2">
      <c r="B687" s="2"/>
      <c r="C687" s="167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6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2:34" ht="12.75" x14ac:dyDescent="0.2">
      <c r="B688" s="2"/>
      <c r="C688" s="167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6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2:34" ht="12.75" x14ac:dyDescent="0.2">
      <c r="B689" s="2"/>
      <c r="C689" s="167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6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2:34" ht="12.75" x14ac:dyDescent="0.2">
      <c r="B690" s="2"/>
      <c r="C690" s="167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6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2:34" ht="12.75" x14ac:dyDescent="0.2">
      <c r="B691" s="2"/>
      <c r="C691" s="167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6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2:34" ht="12.75" x14ac:dyDescent="0.2">
      <c r="B692" s="2"/>
      <c r="C692" s="167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6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2:34" ht="12.75" x14ac:dyDescent="0.2">
      <c r="B693" s="2"/>
      <c r="C693" s="167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6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2:34" ht="12.75" x14ac:dyDescent="0.2">
      <c r="B694" s="2"/>
      <c r="C694" s="167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6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2:34" ht="12.75" x14ac:dyDescent="0.2">
      <c r="B695" s="2"/>
      <c r="C695" s="167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6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2:34" ht="12.75" x14ac:dyDescent="0.2">
      <c r="B696" s="2"/>
      <c r="C696" s="167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6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2:34" ht="12.75" x14ac:dyDescent="0.2">
      <c r="B697" s="2"/>
      <c r="C697" s="167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6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2:34" ht="12.75" x14ac:dyDescent="0.2">
      <c r="B698" s="2"/>
      <c r="C698" s="167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6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2:34" ht="12.75" x14ac:dyDescent="0.2">
      <c r="B699" s="2"/>
      <c r="C699" s="167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6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2:34" ht="12.75" x14ac:dyDescent="0.2">
      <c r="B700" s="2"/>
      <c r="C700" s="167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6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2:34" ht="12.75" x14ac:dyDescent="0.2">
      <c r="B701" s="2"/>
      <c r="C701" s="167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6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2:34" ht="12.75" x14ac:dyDescent="0.2">
      <c r="B702" s="2"/>
      <c r="C702" s="167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6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2:34" ht="12.75" x14ac:dyDescent="0.2">
      <c r="B703" s="2"/>
      <c r="C703" s="167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6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2:34" ht="12.75" x14ac:dyDescent="0.2">
      <c r="B704" s="2"/>
      <c r="C704" s="167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6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2:34" ht="12.75" x14ac:dyDescent="0.2">
      <c r="B705" s="2"/>
      <c r="C705" s="167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6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2:34" ht="12.75" x14ac:dyDescent="0.2">
      <c r="B706" s="2"/>
      <c r="C706" s="167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6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2:34" ht="12.75" x14ac:dyDescent="0.2">
      <c r="B707" s="2"/>
      <c r="C707" s="167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6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2:34" ht="12.75" x14ac:dyDescent="0.2">
      <c r="B708" s="2"/>
      <c r="C708" s="167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6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2:34" ht="12.75" x14ac:dyDescent="0.2">
      <c r="B709" s="2"/>
      <c r="C709" s="167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6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2:34" ht="12.75" x14ac:dyDescent="0.2">
      <c r="B710" s="2"/>
      <c r="C710" s="167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6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2:34" ht="12.75" x14ac:dyDescent="0.2">
      <c r="B711" s="2"/>
      <c r="C711" s="167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6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2:34" ht="12.75" x14ac:dyDescent="0.2">
      <c r="B712" s="2"/>
      <c r="C712" s="167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6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2:34" ht="12.75" x14ac:dyDescent="0.2">
      <c r="B713" s="2"/>
      <c r="C713" s="167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6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2:34" ht="12.75" x14ac:dyDescent="0.2">
      <c r="B714" s="2"/>
      <c r="C714" s="167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6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2:34" ht="12.75" x14ac:dyDescent="0.2">
      <c r="B715" s="2"/>
      <c r="C715" s="167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6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2:34" ht="12.75" x14ac:dyDescent="0.2">
      <c r="B716" s="2"/>
      <c r="C716" s="167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6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2:34" ht="12.75" x14ac:dyDescent="0.2">
      <c r="B717" s="2"/>
      <c r="C717" s="167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6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2:34" ht="12.75" x14ac:dyDescent="0.2">
      <c r="B718" s="2"/>
      <c r="C718" s="167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6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2:34" ht="12.75" x14ac:dyDescent="0.2">
      <c r="B719" s="2"/>
      <c r="C719" s="167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6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2:34" ht="12.75" x14ac:dyDescent="0.2">
      <c r="B720" s="2"/>
      <c r="C720" s="167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6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2:34" ht="12.75" x14ac:dyDescent="0.2">
      <c r="B721" s="2"/>
      <c r="C721" s="167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6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2:34" ht="12.75" x14ac:dyDescent="0.2">
      <c r="B722" s="2"/>
      <c r="C722" s="167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6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2:34" ht="12.75" x14ac:dyDescent="0.2">
      <c r="B723" s="2"/>
      <c r="C723" s="167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6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2:34" ht="12.75" x14ac:dyDescent="0.2">
      <c r="B724" s="2"/>
      <c r="C724" s="167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6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2:34" ht="12.75" x14ac:dyDescent="0.2">
      <c r="B725" s="2"/>
      <c r="C725" s="167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6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2:34" ht="12.75" x14ac:dyDescent="0.2">
      <c r="B726" s="2"/>
      <c r="C726" s="167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6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2:34" ht="12.75" x14ac:dyDescent="0.2">
      <c r="B727" s="2"/>
      <c r="C727" s="167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6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2:34" ht="12.75" x14ac:dyDescent="0.2">
      <c r="B728" s="2"/>
      <c r="C728" s="167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6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2:34" ht="12.75" x14ac:dyDescent="0.2">
      <c r="B729" s="2"/>
      <c r="C729" s="167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6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2:34" ht="12.75" x14ac:dyDescent="0.2">
      <c r="B730" s="2"/>
      <c r="C730" s="167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6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2:34" ht="12.75" x14ac:dyDescent="0.2">
      <c r="B731" s="2"/>
      <c r="C731" s="167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6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2:34" ht="12.75" x14ac:dyDescent="0.2">
      <c r="B732" s="2"/>
      <c r="C732" s="167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6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2:34" ht="12.75" x14ac:dyDescent="0.2">
      <c r="B733" s="2"/>
      <c r="C733" s="167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6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2:34" ht="12.75" x14ac:dyDescent="0.2">
      <c r="B734" s="2"/>
      <c r="C734" s="167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6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2:34" ht="12.75" x14ac:dyDescent="0.2">
      <c r="B735" s="2"/>
      <c r="C735" s="167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6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2:34" ht="12.75" x14ac:dyDescent="0.2">
      <c r="B736" s="2"/>
      <c r="C736" s="167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6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2:34" ht="12.75" x14ac:dyDescent="0.2">
      <c r="B737" s="2"/>
      <c r="C737" s="167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6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2:34" ht="12.75" x14ac:dyDescent="0.2">
      <c r="B738" s="2"/>
      <c r="C738" s="167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6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2:34" ht="12.75" x14ac:dyDescent="0.2">
      <c r="B739" s="2"/>
      <c r="C739" s="167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6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2:34" ht="12.75" x14ac:dyDescent="0.2">
      <c r="B740" s="2"/>
      <c r="C740" s="167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6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2:34" ht="12.75" x14ac:dyDescent="0.2">
      <c r="B741" s="2"/>
      <c r="C741" s="167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6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2:34" ht="12.75" x14ac:dyDescent="0.2">
      <c r="B742" s="2"/>
      <c r="C742" s="167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6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2:34" ht="12.75" x14ac:dyDescent="0.2">
      <c r="B743" s="2"/>
      <c r="C743" s="167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6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2:34" ht="12.75" x14ac:dyDescent="0.2">
      <c r="B744" s="2"/>
      <c r="C744" s="167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6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2:34" ht="12.75" x14ac:dyDescent="0.2">
      <c r="B745" s="2"/>
      <c r="C745" s="167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6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2:34" ht="12.75" x14ac:dyDescent="0.2">
      <c r="B746" s="2"/>
      <c r="C746" s="167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6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2:34" ht="12.75" x14ac:dyDescent="0.2">
      <c r="B747" s="2"/>
      <c r="C747" s="167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6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2:34" ht="12.75" x14ac:dyDescent="0.2">
      <c r="B748" s="2"/>
      <c r="C748" s="167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6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2:34" ht="12.75" x14ac:dyDescent="0.2">
      <c r="B749" s="2"/>
      <c r="C749" s="167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6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2:34" ht="12.75" x14ac:dyDescent="0.2">
      <c r="B750" s="2"/>
      <c r="C750" s="167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6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2:34" ht="12.75" x14ac:dyDescent="0.2">
      <c r="B751" s="2"/>
      <c r="C751" s="167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6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2:34" ht="12.75" x14ac:dyDescent="0.2">
      <c r="B752" s="2"/>
      <c r="C752" s="167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6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2:34" ht="12.75" x14ac:dyDescent="0.2">
      <c r="B753" s="2"/>
      <c r="C753" s="167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6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2:34" ht="12.75" x14ac:dyDescent="0.2">
      <c r="B754" s="2"/>
      <c r="C754" s="167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6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2:34" ht="12.75" x14ac:dyDescent="0.2">
      <c r="B755" s="2"/>
      <c r="C755" s="167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6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2:34" ht="12.75" x14ac:dyDescent="0.2">
      <c r="B756" s="2"/>
      <c r="C756" s="167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6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2:34" ht="12.75" x14ac:dyDescent="0.2">
      <c r="B757" s="2"/>
      <c r="C757" s="167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6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2:34" ht="12.75" x14ac:dyDescent="0.2">
      <c r="B758" s="2"/>
      <c r="C758" s="167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6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2:34" ht="12.75" x14ac:dyDescent="0.2">
      <c r="B759" s="2"/>
      <c r="C759" s="167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6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2:34" ht="12.75" x14ac:dyDescent="0.2">
      <c r="B760" s="2"/>
      <c r="C760" s="167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6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2:34" ht="12.75" x14ac:dyDescent="0.2">
      <c r="B761" s="2"/>
      <c r="C761" s="167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6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2:34" ht="12.75" x14ac:dyDescent="0.2">
      <c r="B762" s="2"/>
      <c r="C762" s="167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6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2:34" ht="12.75" x14ac:dyDescent="0.2">
      <c r="B763" s="2"/>
      <c r="C763" s="167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6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2:34" ht="12.75" x14ac:dyDescent="0.2">
      <c r="B764" s="2"/>
      <c r="C764" s="167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6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2:34" ht="12.75" x14ac:dyDescent="0.2">
      <c r="B765" s="2"/>
      <c r="C765" s="167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6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2:34" ht="12.75" x14ac:dyDescent="0.2">
      <c r="B766" s="2"/>
      <c r="C766" s="167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6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2:34" ht="12.75" x14ac:dyDescent="0.2">
      <c r="B767" s="2"/>
      <c r="C767" s="167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6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2:34" ht="12.75" x14ac:dyDescent="0.2">
      <c r="B768" s="2"/>
      <c r="C768" s="167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6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2:34" ht="12.75" x14ac:dyDescent="0.2">
      <c r="B769" s="2"/>
      <c r="C769" s="167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6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2:34" ht="12.75" x14ac:dyDescent="0.2">
      <c r="B770" s="2"/>
      <c r="C770" s="167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6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2:34" ht="12.75" x14ac:dyDescent="0.2">
      <c r="B771" s="2"/>
      <c r="C771" s="167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6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2:34" ht="12.75" x14ac:dyDescent="0.2">
      <c r="B772" s="2"/>
      <c r="C772" s="167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6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2:34" ht="12.75" x14ac:dyDescent="0.2">
      <c r="B773" s="2"/>
      <c r="C773" s="167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6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2:34" ht="12.75" x14ac:dyDescent="0.2">
      <c r="B774" s="2"/>
      <c r="C774" s="167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6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2:34" ht="12.75" x14ac:dyDescent="0.2">
      <c r="B775" s="2"/>
      <c r="C775" s="167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6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2:34" ht="12.75" x14ac:dyDescent="0.2">
      <c r="B776" s="2"/>
      <c r="C776" s="167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6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2:34" ht="12.75" x14ac:dyDescent="0.2">
      <c r="B777" s="2"/>
      <c r="C777" s="167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6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2:34" ht="12.75" x14ac:dyDescent="0.2">
      <c r="B778" s="2"/>
      <c r="C778" s="167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6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2:34" ht="12.75" x14ac:dyDescent="0.2">
      <c r="B779" s="2"/>
      <c r="C779" s="167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6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2:34" ht="12.75" x14ac:dyDescent="0.2">
      <c r="B780" s="2"/>
      <c r="C780" s="167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6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2:34" ht="12.75" x14ac:dyDescent="0.2">
      <c r="B781" s="2"/>
      <c r="C781" s="167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6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2:34" ht="12.75" x14ac:dyDescent="0.2">
      <c r="B782" s="2"/>
      <c r="C782" s="167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6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2:34" ht="12.75" x14ac:dyDescent="0.2">
      <c r="B783" s="2"/>
      <c r="C783" s="167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6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2:34" ht="12.75" x14ac:dyDescent="0.2">
      <c r="B784" s="2"/>
      <c r="C784" s="167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6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2:34" ht="12.75" x14ac:dyDescent="0.2">
      <c r="B785" s="2"/>
      <c r="C785" s="167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6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2:34" ht="12.75" x14ac:dyDescent="0.2">
      <c r="B786" s="2"/>
      <c r="C786" s="167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6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2:34" ht="12.75" x14ac:dyDescent="0.2">
      <c r="B787" s="2"/>
      <c r="C787" s="167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6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2:34" ht="12.75" x14ac:dyDescent="0.2">
      <c r="B788" s="2"/>
      <c r="C788" s="167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6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2:34" ht="12.75" x14ac:dyDescent="0.2">
      <c r="B789" s="2"/>
      <c r="C789" s="167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6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2:34" ht="12.75" x14ac:dyDescent="0.2">
      <c r="B790" s="2"/>
      <c r="C790" s="167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6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2:34" ht="12.75" x14ac:dyDescent="0.2">
      <c r="B791" s="2"/>
      <c r="C791" s="167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6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2:34" ht="12.75" x14ac:dyDescent="0.2">
      <c r="B792" s="2"/>
      <c r="C792" s="167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6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2:34" ht="12.75" x14ac:dyDescent="0.2">
      <c r="B793" s="2"/>
      <c r="C793" s="167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6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2:34" ht="12.75" x14ac:dyDescent="0.2">
      <c r="B794" s="2"/>
      <c r="C794" s="167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6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2:34" ht="12.75" x14ac:dyDescent="0.2">
      <c r="B795" s="2"/>
      <c r="C795" s="167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6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2:34" ht="12.75" x14ac:dyDescent="0.2">
      <c r="B796" s="2"/>
      <c r="C796" s="167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6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2:34" ht="12.75" x14ac:dyDescent="0.2">
      <c r="B797" s="2"/>
      <c r="C797" s="167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6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2:34" ht="12.75" x14ac:dyDescent="0.2">
      <c r="B798" s="2"/>
      <c r="C798" s="167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6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2:34" ht="12.75" x14ac:dyDescent="0.2">
      <c r="B799" s="2"/>
      <c r="C799" s="167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6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2:34" ht="12.75" x14ac:dyDescent="0.2">
      <c r="B800" s="2"/>
      <c r="C800" s="167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6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2:34" ht="12.75" x14ac:dyDescent="0.2">
      <c r="B801" s="2"/>
      <c r="C801" s="167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6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2:34" ht="12.75" x14ac:dyDescent="0.2">
      <c r="B802" s="2"/>
      <c r="C802" s="167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6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2:34" ht="12.75" x14ac:dyDescent="0.2">
      <c r="B803" s="2"/>
      <c r="C803" s="167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6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2:34" ht="12.75" x14ac:dyDescent="0.2">
      <c r="B804" s="2"/>
      <c r="C804" s="167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6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2:34" ht="12.75" x14ac:dyDescent="0.2">
      <c r="B805" s="2"/>
      <c r="C805" s="167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6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2:34" ht="12.75" x14ac:dyDescent="0.2">
      <c r="B806" s="2"/>
      <c r="C806" s="167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6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2:34" ht="12.75" x14ac:dyDescent="0.2">
      <c r="B807" s="2"/>
      <c r="C807" s="167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6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2:34" ht="12.75" x14ac:dyDescent="0.2">
      <c r="B808" s="2"/>
      <c r="C808" s="167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6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2:34" ht="12.75" x14ac:dyDescent="0.2">
      <c r="B809" s="2"/>
      <c r="C809" s="167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6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2:34" ht="12.75" x14ac:dyDescent="0.2">
      <c r="B810" s="2"/>
      <c r="C810" s="167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6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2:34" ht="12.75" x14ac:dyDescent="0.2">
      <c r="B811" s="2"/>
      <c r="C811" s="167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6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2:34" ht="12.75" x14ac:dyDescent="0.2">
      <c r="B812" s="2"/>
      <c r="C812" s="167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6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2:34" ht="12.75" x14ac:dyDescent="0.2">
      <c r="B813" s="2"/>
      <c r="C813" s="167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6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2:34" ht="12.75" x14ac:dyDescent="0.2">
      <c r="B814" s="2"/>
      <c r="C814" s="167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6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2:34" ht="12.75" x14ac:dyDescent="0.2">
      <c r="B815" s="2"/>
      <c r="C815" s="167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6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2:34" ht="12.75" x14ac:dyDescent="0.2">
      <c r="B816" s="2"/>
      <c r="C816" s="167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6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2:34" ht="12.75" x14ac:dyDescent="0.2">
      <c r="B817" s="2"/>
      <c r="C817" s="167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6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2:34" ht="12.75" x14ac:dyDescent="0.2">
      <c r="B818" s="2"/>
      <c r="C818" s="167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6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2:34" ht="12.75" x14ac:dyDescent="0.2">
      <c r="B819" s="2"/>
      <c r="C819" s="167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6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2:34" ht="12.75" x14ac:dyDescent="0.2">
      <c r="B820" s="2"/>
      <c r="C820" s="167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6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2:34" ht="12.75" x14ac:dyDescent="0.2">
      <c r="B821" s="2"/>
      <c r="C821" s="167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6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2:34" ht="12.75" x14ac:dyDescent="0.2">
      <c r="B822" s="2"/>
      <c r="C822" s="167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6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2:34" ht="12.75" x14ac:dyDescent="0.2">
      <c r="B823" s="2"/>
      <c r="C823" s="167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6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2:34" ht="12.75" x14ac:dyDescent="0.2">
      <c r="B824" s="2"/>
      <c r="C824" s="167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6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2:34" ht="12.75" x14ac:dyDescent="0.2">
      <c r="B825" s="2"/>
      <c r="C825" s="167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6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2:34" ht="12.75" x14ac:dyDescent="0.2">
      <c r="B826" s="2"/>
      <c r="C826" s="167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6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2:34" ht="12.75" x14ac:dyDescent="0.2">
      <c r="B827" s="2"/>
      <c r="C827" s="167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6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2:34" ht="12.75" x14ac:dyDescent="0.2">
      <c r="B828" s="2"/>
      <c r="C828" s="167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6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2:34" ht="12.75" x14ac:dyDescent="0.2">
      <c r="B829" s="2"/>
      <c r="C829" s="167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6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2:34" ht="12.75" x14ac:dyDescent="0.2">
      <c r="B830" s="2"/>
      <c r="C830" s="167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6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2:34" ht="12.75" x14ac:dyDescent="0.2">
      <c r="B831" s="2"/>
      <c r="C831" s="167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6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2:34" ht="12.75" x14ac:dyDescent="0.2">
      <c r="B832" s="2"/>
      <c r="C832" s="167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6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2:34" ht="12.75" x14ac:dyDescent="0.2">
      <c r="B833" s="2"/>
      <c r="C833" s="167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6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2:34" ht="12.75" x14ac:dyDescent="0.2">
      <c r="B834" s="2"/>
      <c r="C834" s="167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6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2:34" ht="12.75" x14ac:dyDescent="0.2">
      <c r="B835" s="2"/>
      <c r="C835" s="167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6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2:34" ht="12.75" x14ac:dyDescent="0.2">
      <c r="B836" s="2"/>
      <c r="C836" s="167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6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2:34" ht="12.75" x14ac:dyDescent="0.2">
      <c r="B837" s="2"/>
      <c r="C837" s="167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6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2:34" ht="12.75" x14ac:dyDescent="0.2">
      <c r="B838" s="2"/>
      <c r="C838" s="167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6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2:34" ht="12.75" x14ac:dyDescent="0.2">
      <c r="B839" s="2"/>
      <c r="C839" s="167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6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2:34" ht="12.75" x14ac:dyDescent="0.2">
      <c r="B840" s="2"/>
      <c r="C840" s="167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6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2:34" ht="12.75" x14ac:dyDescent="0.2">
      <c r="B841" s="2"/>
      <c r="C841" s="167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6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2:34" ht="12.75" x14ac:dyDescent="0.2">
      <c r="B842" s="2"/>
      <c r="C842" s="167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6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2:34" ht="12.75" x14ac:dyDescent="0.2">
      <c r="B843" s="2"/>
      <c r="C843" s="167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6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2:34" ht="12.75" x14ac:dyDescent="0.2">
      <c r="B844" s="2"/>
      <c r="C844" s="167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6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2:34" ht="12.75" x14ac:dyDescent="0.2">
      <c r="B845" s="2"/>
      <c r="C845" s="167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6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2:34" ht="12.75" x14ac:dyDescent="0.2">
      <c r="B846" s="2"/>
      <c r="C846" s="167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6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2:34" ht="12.75" x14ac:dyDescent="0.2">
      <c r="B847" s="2"/>
      <c r="C847" s="167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6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2:34" ht="12.75" x14ac:dyDescent="0.2">
      <c r="B848" s="2"/>
      <c r="C848" s="167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6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2:34" ht="12.75" x14ac:dyDescent="0.2">
      <c r="B849" s="2"/>
      <c r="C849" s="167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6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2:34" ht="12.75" x14ac:dyDescent="0.2">
      <c r="B850" s="2"/>
      <c r="C850" s="167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6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2:34" ht="12.75" x14ac:dyDescent="0.2">
      <c r="B851" s="2"/>
      <c r="C851" s="167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6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2:34" ht="12.75" x14ac:dyDescent="0.2">
      <c r="B852" s="2"/>
      <c r="C852" s="167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6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2:34" ht="12.75" x14ac:dyDescent="0.2">
      <c r="B853" s="2"/>
      <c r="C853" s="167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6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2:34" ht="12.75" x14ac:dyDescent="0.2">
      <c r="B854" s="2"/>
      <c r="C854" s="167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6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2:34" ht="12.75" x14ac:dyDescent="0.2">
      <c r="B855" s="2"/>
      <c r="C855" s="167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6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2:34" ht="12.75" x14ac:dyDescent="0.2">
      <c r="B856" s="2"/>
      <c r="C856" s="167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6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2:34" ht="12.75" x14ac:dyDescent="0.2">
      <c r="B857" s="2"/>
      <c r="C857" s="167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6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2:34" ht="12.75" x14ac:dyDescent="0.2">
      <c r="B858" s="2"/>
      <c r="C858" s="167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6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2:34" ht="12.75" x14ac:dyDescent="0.2">
      <c r="B859" s="2"/>
      <c r="C859" s="167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6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2:34" ht="12.75" x14ac:dyDescent="0.2">
      <c r="B860" s="2"/>
      <c r="C860" s="167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6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2:34" ht="12.75" x14ac:dyDescent="0.2">
      <c r="B861" s="2"/>
      <c r="C861" s="167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6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2:34" ht="12.75" x14ac:dyDescent="0.2">
      <c r="B862" s="2"/>
      <c r="C862" s="167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6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2:34" ht="12.75" x14ac:dyDescent="0.2">
      <c r="B863" s="2"/>
      <c r="C863" s="167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6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2:34" ht="12.75" x14ac:dyDescent="0.2">
      <c r="B864" s="2"/>
      <c r="C864" s="167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6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2:34" ht="12.75" x14ac:dyDescent="0.2">
      <c r="B865" s="2"/>
      <c r="C865" s="167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6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2:34" ht="12.75" x14ac:dyDescent="0.2">
      <c r="B866" s="2"/>
      <c r="C866" s="167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6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2:34" ht="12.75" x14ac:dyDescent="0.2">
      <c r="B867" s="2"/>
      <c r="C867" s="167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6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2:34" ht="12.75" x14ac:dyDescent="0.2">
      <c r="B868" s="2"/>
      <c r="C868" s="167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6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2:34" ht="12.75" x14ac:dyDescent="0.2">
      <c r="B869" s="2"/>
      <c r="C869" s="167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6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2:34" ht="12.75" x14ac:dyDescent="0.2">
      <c r="B870" s="2"/>
      <c r="C870" s="167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6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2:34" ht="12.75" x14ac:dyDescent="0.2">
      <c r="B871" s="2"/>
      <c r="C871" s="167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6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2:34" ht="12.75" x14ac:dyDescent="0.2">
      <c r="B872" s="2"/>
      <c r="C872" s="167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6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2:34" ht="12.75" x14ac:dyDescent="0.2">
      <c r="B873" s="2"/>
      <c r="C873" s="167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6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2:34" ht="12.75" x14ac:dyDescent="0.2">
      <c r="B874" s="2"/>
      <c r="C874" s="167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6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2:34" ht="12.75" x14ac:dyDescent="0.2">
      <c r="B875" s="2"/>
      <c r="C875" s="167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6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2:34" ht="12.75" x14ac:dyDescent="0.2">
      <c r="B876" s="2"/>
      <c r="C876" s="167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6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2:34" ht="12.75" x14ac:dyDescent="0.2">
      <c r="B877" s="2"/>
      <c r="C877" s="167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6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2:34" ht="12.75" x14ac:dyDescent="0.2">
      <c r="B878" s="2"/>
      <c r="C878" s="167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6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2:34" ht="12.75" x14ac:dyDescent="0.2">
      <c r="B879" s="2"/>
      <c r="C879" s="167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6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2:34" ht="12.75" x14ac:dyDescent="0.2">
      <c r="B880" s="2"/>
      <c r="C880" s="167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6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2:34" ht="12.75" x14ac:dyDescent="0.2">
      <c r="B881" s="2"/>
      <c r="C881" s="167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6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2:34" ht="12.75" x14ac:dyDescent="0.2">
      <c r="B882" s="2"/>
      <c r="C882" s="167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6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2:34" ht="12.75" x14ac:dyDescent="0.2">
      <c r="B883" s="2"/>
      <c r="C883" s="167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6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2:34" ht="12.75" x14ac:dyDescent="0.2">
      <c r="B884" s="2"/>
      <c r="C884" s="167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6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2:34" ht="12.75" x14ac:dyDescent="0.2">
      <c r="B885" s="2"/>
      <c r="C885" s="167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6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2:34" ht="12.75" x14ac:dyDescent="0.2">
      <c r="B886" s="2"/>
      <c r="C886" s="167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6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2:34" ht="12.75" x14ac:dyDescent="0.2">
      <c r="B887" s="2"/>
      <c r="C887" s="167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6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2:34" ht="12.75" x14ac:dyDescent="0.2">
      <c r="B888" s="2"/>
      <c r="C888" s="167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6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2:34" ht="12.75" x14ac:dyDescent="0.2">
      <c r="B889" s="2"/>
      <c r="C889" s="167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6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2:34" ht="12.75" x14ac:dyDescent="0.2">
      <c r="B890" s="2"/>
      <c r="C890" s="167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6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2:34" ht="12.75" x14ac:dyDescent="0.2">
      <c r="B891" s="2"/>
      <c r="C891" s="167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6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2:34" ht="12.75" x14ac:dyDescent="0.2">
      <c r="B892" s="2"/>
      <c r="C892" s="167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6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2:34" ht="12.75" x14ac:dyDescent="0.2">
      <c r="B893" s="2"/>
      <c r="C893" s="167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6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2:34" ht="12.75" x14ac:dyDescent="0.2">
      <c r="B894" s="2"/>
      <c r="C894" s="167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6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2:34" ht="12.75" x14ac:dyDescent="0.2">
      <c r="B895" s="2"/>
      <c r="C895" s="167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6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2:34" ht="12.75" x14ac:dyDescent="0.2">
      <c r="B896" s="2"/>
      <c r="C896" s="167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6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2:34" ht="12.75" x14ac:dyDescent="0.2">
      <c r="B897" s="2"/>
      <c r="C897" s="167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6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2:34" ht="12.75" x14ac:dyDescent="0.2">
      <c r="B898" s="2"/>
      <c r="C898" s="167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6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2:34" ht="12.75" x14ac:dyDescent="0.2">
      <c r="B899" s="2"/>
      <c r="C899" s="167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6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2:34" ht="12.75" x14ac:dyDescent="0.2">
      <c r="B900" s="2"/>
      <c r="C900" s="167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6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2:34" ht="12.75" x14ac:dyDescent="0.2">
      <c r="B901" s="2"/>
      <c r="C901" s="167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6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2:34" ht="12.75" x14ac:dyDescent="0.2">
      <c r="B902" s="2"/>
      <c r="C902" s="167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6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2:34" ht="12.75" x14ac:dyDescent="0.2">
      <c r="B903" s="2"/>
      <c r="C903" s="167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6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2:34" ht="12.75" x14ac:dyDescent="0.2">
      <c r="B904" s="2"/>
      <c r="C904" s="167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6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2:34" ht="12.75" x14ac:dyDescent="0.2">
      <c r="B905" s="2"/>
      <c r="C905" s="167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6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2:34" ht="12.75" x14ac:dyDescent="0.2">
      <c r="B906" s="2"/>
      <c r="C906" s="167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6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2:34" ht="12.75" x14ac:dyDescent="0.2">
      <c r="B907" s="2"/>
      <c r="C907" s="167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6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2:34" ht="12.75" x14ac:dyDescent="0.2">
      <c r="B908" s="2"/>
      <c r="C908" s="167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6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2:34" ht="12.75" x14ac:dyDescent="0.2">
      <c r="B909" s="2"/>
      <c r="C909" s="167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6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2:34" ht="12.75" x14ac:dyDescent="0.2">
      <c r="B910" s="2"/>
      <c r="C910" s="167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6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2:34" ht="12.75" x14ac:dyDescent="0.2">
      <c r="B911" s="2"/>
      <c r="C911" s="167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6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2:34" ht="12.75" x14ac:dyDescent="0.2">
      <c r="B912" s="2"/>
      <c r="C912" s="167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6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2:34" ht="12.75" x14ac:dyDescent="0.2">
      <c r="B913" s="2"/>
      <c r="C913" s="167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6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2:34" ht="12.75" x14ac:dyDescent="0.2">
      <c r="B914" s="2"/>
      <c r="C914" s="167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6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2:34" ht="12.75" x14ac:dyDescent="0.2">
      <c r="B915" s="2"/>
      <c r="C915" s="167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6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2:34" ht="12.75" x14ac:dyDescent="0.2">
      <c r="B916" s="2"/>
      <c r="C916" s="167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6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2:34" ht="12.75" x14ac:dyDescent="0.2">
      <c r="B917" s="2"/>
      <c r="C917" s="167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6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2:34" ht="12.75" x14ac:dyDescent="0.2">
      <c r="B918" s="2"/>
      <c r="C918" s="167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6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2:34" ht="12.75" x14ac:dyDescent="0.2">
      <c r="B919" s="2"/>
      <c r="C919" s="167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6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2:34" ht="12.75" x14ac:dyDescent="0.2">
      <c r="B920" s="2"/>
      <c r="C920" s="167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6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2:34" ht="12.75" x14ac:dyDescent="0.2">
      <c r="B921" s="2"/>
      <c r="C921" s="167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6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2:34" ht="12.75" x14ac:dyDescent="0.2">
      <c r="B922" s="2"/>
      <c r="C922" s="167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6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2:34" ht="12.75" x14ac:dyDescent="0.2">
      <c r="B923" s="2"/>
      <c r="C923" s="167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6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2:34" ht="12.75" x14ac:dyDescent="0.2">
      <c r="B924" s="2"/>
      <c r="C924" s="167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6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2:34" ht="12.75" x14ac:dyDescent="0.2">
      <c r="B925" s="2"/>
      <c r="C925" s="167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6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2:34" ht="12.75" x14ac:dyDescent="0.2">
      <c r="B926" s="2"/>
      <c r="C926" s="167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6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2:34" ht="12.75" x14ac:dyDescent="0.2">
      <c r="B927" s="2"/>
      <c r="C927" s="167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6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2:34" ht="12.75" x14ac:dyDescent="0.2">
      <c r="B928" s="2"/>
      <c r="C928" s="167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6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2:34" ht="12.75" x14ac:dyDescent="0.2">
      <c r="B929" s="2"/>
      <c r="C929" s="167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6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2:34" ht="12.75" x14ac:dyDescent="0.2">
      <c r="B930" s="2"/>
      <c r="C930" s="167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6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2:34" ht="12.75" x14ac:dyDescent="0.2">
      <c r="B931" s="2"/>
      <c r="C931" s="167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6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2:34" ht="12.75" x14ac:dyDescent="0.2">
      <c r="B932" s="2"/>
      <c r="C932" s="167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6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2:34" ht="12.75" x14ac:dyDescent="0.2">
      <c r="B933" s="2"/>
      <c r="C933" s="167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6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2:34" ht="12.75" x14ac:dyDescent="0.2">
      <c r="B934" s="2"/>
      <c r="C934" s="167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6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2:34" ht="12.75" x14ac:dyDescent="0.2">
      <c r="B935" s="2"/>
      <c r="C935" s="167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6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2:34" ht="12.75" x14ac:dyDescent="0.2">
      <c r="B936" s="2"/>
      <c r="C936" s="167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6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2:34" ht="12.75" x14ac:dyDescent="0.2">
      <c r="B937" s="2"/>
      <c r="C937" s="167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6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2:34" ht="12.75" x14ac:dyDescent="0.2">
      <c r="B938" s="2"/>
      <c r="C938" s="167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6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2:34" ht="12.75" x14ac:dyDescent="0.2">
      <c r="B939" s="2"/>
      <c r="C939" s="167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6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2:34" ht="12.75" x14ac:dyDescent="0.2">
      <c r="B940" s="2"/>
      <c r="C940" s="167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6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2:34" ht="12.75" x14ac:dyDescent="0.2">
      <c r="B941" s="2"/>
      <c r="C941" s="167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6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2:34" ht="12.75" x14ac:dyDescent="0.2">
      <c r="B942" s="2"/>
      <c r="C942" s="167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6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2:34" ht="12.75" x14ac:dyDescent="0.2">
      <c r="B943" s="2"/>
      <c r="C943" s="167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6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2:34" ht="12.75" x14ac:dyDescent="0.2">
      <c r="B944" s="2"/>
      <c r="C944" s="167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6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2:34" ht="12.75" x14ac:dyDescent="0.2">
      <c r="B945" s="2"/>
      <c r="C945" s="167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6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2:34" ht="12.75" x14ac:dyDescent="0.2">
      <c r="B946" s="2"/>
      <c r="C946" s="167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6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2:34" ht="12.75" x14ac:dyDescent="0.2">
      <c r="B947" s="2"/>
      <c r="C947" s="167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6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2:34" ht="12.75" x14ac:dyDescent="0.2">
      <c r="B948" s="2"/>
      <c r="C948" s="167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6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2:34" ht="12.75" x14ac:dyDescent="0.2">
      <c r="B949" s="2"/>
      <c r="C949" s="167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6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2:34" ht="12.75" x14ac:dyDescent="0.2">
      <c r="B950" s="2"/>
      <c r="C950" s="167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6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2:34" ht="12.75" x14ac:dyDescent="0.2">
      <c r="B951" s="2"/>
      <c r="C951" s="167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6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2:34" ht="12.75" x14ac:dyDescent="0.2">
      <c r="B952" s="2"/>
      <c r="C952" s="167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6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2:34" ht="12.75" x14ac:dyDescent="0.2">
      <c r="B953" s="2"/>
      <c r="C953" s="167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6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2:34" ht="12.75" x14ac:dyDescent="0.2">
      <c r="B954" s="2"/>
      <c r="C954" s="167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6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2:34" ht="12.75" x14ac:dyDescent="0.2">
      <c r="B955" s="2"/>
      <c r="C955" s="167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6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2:34" ht="12.75" x14ac:dyDescent="0.2">
      <c r="B956" s="2"/>
      <c r="C956" s="167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6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2:34" ht="12.75" x14ac:dyDescent="0.2">
      <c r="B957" s="2"/>
      <c r="C957" s="167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6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2:34" ht="12.75" x14ac:dyDescent="0.2">
      <c r="B958" s="2"/>
      <c r="C958" s="167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6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2:34" ht="12.75" x14ac:dyDescent="0.2">
      <c r="B959" s="2"/>
      <c r="C959" s="167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6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2:34" ht="12.75" x14ac:dyDescent="0.2">
      <c r="B960" s="2"/>
      <c r="C960" s="167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6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2:34" ht="12.75" x14ac:dyDescent="0.2">
      <c r="B961" s="2"/>
      <c r="C961" s="167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6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2:34" ht="12.75" x14ac:dyDescent="0.2">
      <c r="B962" s="2"/>
      <c r="C962" s="167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6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2:34" ht="12.75" x14ac:dyDescent="0.2">
      <c r="B963" s="2"/>
      <c r="C963" s="167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6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2:34" ht="12.75" x14ac:dyDescent="0.2">
      <c r="B964" s="2"/>
      <c r="C964" s="167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6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2:34" ht="12.75" x14ac:dyDescent="0.2">
      <c r="B965" s="2"/>
      <c r="C965" s="167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6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2:34" ht="12.75" x14ac:dyDescent="0.2">
      <c r="B966" s="2"/>
      <c r="C966" s="167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6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2:34" ht="12.75" x14ac:dyDescent="0.2">
      <c r="B967" s="2"/>
      <c r="C967" s="167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6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2:34" ht="12.75" x14ac:dyDescent="0.2">
      <c r="B968" s="2"/>
      <c r="C968" s="167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6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2:34" ht="12.75" x14ac:dyDescent="0.2">
      <c r="B969" s="2"/>
      <c r="C969" s="167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6"/>
      <c r="Z969" s="2"/>
      <c r="AA969" s="2"/>
      <c r="AB969" s="2"/>
      <c r="AC969" s="2"/>
      <c r="AD969" s="2"/>
      <c r="AE969" s="2"/>
      <c r="AF969" s="2"/>
      <c r="AG969" s="2"/>
      <c r="AH969" s="2"/>
    </row>
  </sheetData>
  <mergeCells count="74">
    <mergeCell ref="B155:C155"/>
    <mergeCell ref="B147:B148"/>
    <mergeCell ref="B149:C149"/>
    <mergeCell ref="B150:B151"/>
    <mergeCell ref="B152:C152"/>
    <mergeCell ref="B153:B154"/>
    <mergeCell ref="B111:B112"/>
    <mergeCell ref="B113:C113"/>
    <mergeCell ref="B114:B115"/>
    <mergeCell ref="B141:B142"/>
    <mergeCell ref="B143:C143"/>
    <mergeCell ref="B129:B130"/>
    <mergeCell ref="B131:C131"/>
    <mergeCell ref="B120:B121"/>
    <mergeCell ref="B122:C122"/>
    <mergeCell ref="B123:B124"/>
    <mergeCell ref="B125:C125"/>
    <mergeCell ref="B126:B127"/>
    <mergeCell ref="B128:C128"/>
    <mergeCell ref="B92:C92"/>
    <mergeCell ref="B93:B94"/>
    <mergeCell ref="B117:B118"/>
    <mergeCell ref="B119:C119"/>
    <mergeCell ref="B95:C95"/>
    <mergeCell ref="B96:B97"/>
    <mergeCell ref="B99:B100"/>
    <mergeCell ref="B101:C101"/>
    <mergeCell ref="B102:B103"/>
    <mergeCell ref="B98:C98"/>
    <mergeCell ref="B104:C104"/>
    <mergeCell ref="B105:B106"/>
    <mergeCell ref="B107:C107"/>
    <mergeCell ref="B116:C116"/>
    <mergeCell ref="B108:B109"/>
    <mergeCell ref="B110:C110"/>
    <mergeCell ref="B86:C86"/>
    <mergeCell ref="B87:B88"/>
    <mergeCell ref="B78:B79"/>
    <mergeCell ref="B80:C80"/>
    <mergeCell ref="B90:B91"/>
    <mergeCell ref="S10:S11"/>
    <mergeCell ref="B58:V58"/>
    <mergeCell ref="B56:C56"/>
    <mergeCell ref="B19:Y19"/>
    <mergeCell ref="B71:C71"/>
    <mergeCell ref="B63:B64"/>
    <mergeCell ref="B66:B67"/>
    <mergeCell ref="B69:B70"/>
    <mergeCell ref="B62:C62"/>
    <mergeCell ref="B65:C65"/>
    <mergeCell ref="B68:C68"/>
    <mergeCell ref="B60:B61"/>
    <mergeCell ref="B144:B145"/>
    <mergeCell ref="B146:C146"/>
    <mergeCell ref="B72:B73"/>
    <mergeCell ref="B135:B136"/>
    <mergeCell ref="B137:C137"/>
    <mergeCell ref="B138:B139"/>
    <mergeCell ref="B140:C140"/>
    <mergeCell ref="B132:B133"/>
    <mergeCell ref="B134:C134"/>
    <mergeCell ref="B74:C74"/>
    <mergeCell ref="B75:B76"/>
    <mergeCell ref="B77:C77"/>
    <mergeCell ref="B89:C89"/>
    <mergeCell ref="B81:B82"/>
    <mergeCell ref="B83:C83"/>
    <mergeCell ref="B84:B85"/>
    <mergeCell ref="B164:C164"/>
    <mergeCell ref="B156:B157"/>
    <mergeCell ref="B158:C158"/>
    <mergeCell ref="B159:B160"/>
    <mergeCell ref="B161:C161"/>
    <mergeCell ref="B162:B163"/>
  </mergeCells>
  <conditionalFormatting sqref="V10">
    <cfRule type="cellIs" dxfId="73" priority="3" operator="greaterThan">
      <formula>1</formula>
    </cfRule>
    <cfRule type="cellIs" dxfId="72" priority="4" operator="greaterThan">
      <formula>1</formula>
    </cfRule>
  </conditionalFormatting>
  <conditionalFormatting sqref="Y10 V10">
    <cfRule type="cellIs" dxfId="71" priority="2" operator="greaterThan">
      <formula>0.99</formula>
    </cfRule>
  </conditionalFormatting>
  <conditionalFormatting sqref="Y10 V10">
    <cfRule type="cellIs" dxfId="70" priority="1" operator="lessThan">
      <formula>0.99</formula>
    </cfRule>
  </conditionalFormatting>
  <pageMargins left="0.7" right="0.7" top="0.75" bottom="0.75" header="0.3" footer="0.3"/>
  <pageSetup paperSize="9" scale="52" fitToHeight="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2:AH921"/>
  <sheetViews>
    <sheetView topLeftCell="A34" zoomScale="67" zoomScaleNormal="67" workbookViewId="0">
      <selection activeCell="K25" sqref="K25"/>
    </sheetView>
  </sheetViews>
  <sheetFormatPr defaultColWidth="14.42578125" defaultRowHeight="15.75" customHeight="1" x14ac:dyDescent="0.2"/>
  <cols>
    <col min="1" max="1" width="2.28515625" style="4" customWidth="1"/>
    <col min="2" max="2" width="15.28515625" style="4" customWidth="1"/>
    <col min="3" max="3" width="9.5703125" style="4" customWidth="1"/>
    <col min="4" max="4" width="14.42578125" style="4"/>
    <col min="5" max="5" width="11.7109375" style="4" customWidth="1"/>
    <col min="6" max="6" width="11.42578125" style="4" customWidth="1"/>
    <col min="7" max="7" width="12.42578125" style="4" customWidth="1"/>
    <col min="8" max="8" width="9.28515625" style="4" customWidth="1"/>
    <col min="9" max="14" width="7.7109375" style="4" customWidth="1"/>
    <col min="15" max="15" width="7" style="4" customWidth="1"/>
    <col min="16" max="16" width="7.28515625" style="4" customWidth="1"/>
    <col min="17" max="17" width="7.5703125" style="4" customWidth="1"/>
    <col min="18" max="18" width="10.7109375" style="4" customWidth="1"/>
    <col min="19" max="19" width="11.28515625" style="4" customWidth="1"/>
    <col min="20" max="20" width="12.42578125" style="4" customWidth="1"/>
    <col min="21" max="21" width="12.28515625" style="4" customWidth="1"/>
    <col min="22" max="22" width="12.7109375" style="4" customWidth="1"/>
    <col min="23" max="23" width="12" style="4" customWidth="1"/>
    <col min="24" max="24" width="11" style="4" customWidth="1"/>
    <col min="25" max="25" width="12.7109375" style="4" customWidth="1"/>
    <col min="26" max="16384" width="14.42578125" style="4"/>
  </cols>
  <sheetData>
    <row r="2" spans="1:34" x14ac:dyDescent="0.25">
      <c r="B2" s="5" t="s">
        <v>127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6"/>
      <c r="Z2" s="2"/>
      <c r="AA2" s="2"/>
      <c r="AB2" s="2"/>
      <c r="AC2" s="2"/>
      <c r="AD2" s="2"/>
      <c r="AE2" s="2"/>
      <c r="AF2" s="2"/>
      <c r="AG2" s="2"/>
      <c r="AH2" s="2"/>
    </row>
    <row r="3" spans="1:34" ht="15.75" customHeight="1" x14ac:dyDescent="0.2">
      <c r="E3" s="7"/>
      <c r="F3" s="2"/>
      <c r="G3" s="2"/>
      <c r="H3" s="7"/>
      <c r="I3" s="2"/>
      <c r="J3" s="8"/>
      <c r="K3" s="7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6"/>
      <c r="Z3" s="2"/>
      <c r="AA3" s="2"/>
      <c r="AB3" s="2"/>
      <c r="AC3" s="2"/>
      <c r="AD3" s="2"/>
      <c r="AE3" s="2"/>
      <c r="AF3" s="2"/>
      <c r="AG3" s="2"/>
      <c r="AH3" s="2"/>
    </row>
    <row r="4" spans="1:34" ht="15.75" customHeight="1" x14ac:dyDescent="0.2">
      <c r="B4" s="7" t="s">
        <v>46</v>
      </c>
      <c r="C4" s="2"/>
      <c r="D4" s="84" t="s">
        <v>3</v>
      </c>
      <c r="E4" s="7"/>
      <c r="F4" s="2"/>
      <c r="G4" s="2"/>
      <c r="H4" s="7"/>
      <c r="I4" s="2"/>
      <c r="J4" s="8"/>
      <c r="K4" s="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6"/>
      <c r="Z4" s="2"/>
      <c r="AA4" s="2"/>
      <c r="AB4" s="2"/>
      <c r="AC4" s="2"/>
      <c r="AD4" s="2"/>
      <c r="AE4" s="2"/>
      <c r="AF4" s="2"/>
      <c r="AG4" s="2"/>
      <c r="AH4" s="2"/>
    </row>
    <row r="5" spans="1:34" ht="32.25" customHeight="1" x14ac:dyDescent="0.2">
      <c r="A5" s="34"/>
      <c r="B5" s="7" t="s">
        <v>47</v>
      </c>
      <c r="C5" s="2"/>
      <c r="D5" s="8">
        <v>28</v>
      </c>
      <c r="E5" s="1"/>
      <c r="F5" s="1"/>
      <c r="G5" s="1"/>
      <c r="H5" s="34"/>
      <c r="I5" s="7"/>
      <c r="J5" s="2"/>
      <c r="K5" s="2"/>
      <c r="S5" s="357" t="s">
        <v>128</v>
      </c>
      <c r="T5" s="36" t="s">
        <v>53</v>
      </c>
      <c r="U5" s="37" t="s">
        <v>54</v>
      </c>
      <c r="V5" s="37" t="s">
        <v>55</v>
      </c>
      <c r="W5" s="37" t="s">
        <v>56</v>
      </c>
      <c r="X5" s="37" t="s">
        <v>57</v>
      </c>
      <c r="Y5" s="38" t="s">
        <v>58</v>
      </c>
      <c r="Z5" s="2"/>
      <c r="AA5" s="2"/>
      <c r="AB5" s="2"/>
      <c r="AC5" s="2"/>
      <c r="AD5" s="2"/>
      <c r="AE5" s="2"/>
      <c r="AF5" s="2"/>
      <c r="AG5" s="2"/>
      <c r="AH5" s="2"/>
    </row>
    <row r="6" spans="1:34" ht="15.75" customHeight="1" x14ac:dyDescent="0.2">
      <c r="A6" s="34"/>
      <c r="B6" s="7" t="s">
        <v>48</v>
      </c>
      <c r="C6" s="2"/>
      <c r="D6" s="8">
        <v>25</v>
      </c>
      <c r="E6" s="1"/>
      <c r="F6" s="1"/>
      <c r="G6" s="1"/>
      <c r="H6" s="34"/>
      <c r="I6" s="7"/>
      <c r="J6" s="2"/>
      <c r="K6" s="2"/>
      <c r="L6" s="2"/>
      <c r="M6" s="2"/>
      <c r="N6" s="2"/>
      <c r="S6" s="357"/>
      <c r="T6" s="39">
        <v>2790697.6744186049</v>
      </c>
      <c r="U6" s="40">
        <f>F50</f>
        <v>23098015</v>
      </c>
      <c r="V6" s="41">
        <f>U6/T6</f>
        <v>8.2767887083333331</v>
      </c>
      <c r="W6" s="67">
        <v>7254</v>
      </c>
      <c r="X6" s="43">
        <f>SUM(W22:W27,W32:W42)</f>
        <v>6111.1</v>
      </c>
      <c r="Y6" s="41">
        <f>X6/W6</f>
        <v>0.84244554728425702</v>
      </c>
      <c r="Z6" s="2"/>
      <c r="AA6" s="2"/>
      <c r="AB6" s="2"/>
      <c r="AC6" s="2"/>
      <c r="AD6" s="2"/>
      <c r="AE6" s="2"/>
      <c r="AF6" s="2"/>
      <c r="AG6" s="2"/>
      <c r="AH6" s="2"/>
    </row>
    <row r="7" spans="1:34" ht="12.75" x14ac:dyDescent="0.2">
      <c r="A7" s="34"/>
      <c r="B7" s="7" t="s">
        <v>49</v>
      </c>
      <c r="C7" s="2"/>
      <c r="D7" s="8">
        <f>D5-D6</f>
        <v>3</v>
      </c>
      <c r="E7" s="1"/>
      <c r="F7" s="1"/>
      <c r="G7" s="1"/>
      <c r="H7" s="34"/>
      <c r="I7" s="7"/>
      <c r="J7" s="2"/>
      <c r="K7" s="2"/>
      <c r="L7" s="2"/>
      <c r="M7" s="2"/>
      <c r="N7" s="2"/>
      <c r="T7" s="44"/>
      <c r="U7" s="48"/>
      <c r="V7" s="45"/>
      <c r="W7" s="46"/>
      <c r="X7" s="47"/>
      <c r="Y7" s="45"/>
      <c r="Z7" s="2"/>
      <c r="AA7" s="2"/>
      <c r="AB7" s="2"/>
      <c r="AC7" s="2"/>
      <c r="AD7" s="2"/>
      <c r="AE7" s="2"/>
      <c r="AF7" s="2"/>
      <c r="AG7" s="2"/>
      <c r="AH7" s="2"/>
    </row>
    <row r="8" spans="1:34" ht="25.5" x14ac:dyDescent="0.2">
      <c r="A8" s="34"/>
      <c r="B8" s="7" t="s">
        <v>50</v>
      </c>
      <c r="C8" s="2"/>
      <c r="D8" s="102">
        <f>W6+W9+W12</f>
        <v>19232</v>
      </c>
      <c r="E8" s="1"/>
      <c r="F8" s="1"/>
      <c r="G8" s="1"/>
      <c r="H8" s="34"/>
      <c r="I8" s="7"/>
      <c r="J8" s="2"/>
      <c r="K8" s="2"/>
      <c r="L8" s="2"/>
      <c r="M8" s="2"/>
      <c r="N8" s="2"/>
      <c r="S8" s="357" t="s">
        <v>129</v>
      </c>
      <c r="T8" s="37" t="s">
        <v>53</v>
      </c>
      <c r="U8" s="37" t="s">
        <v>54</v>
      </c>
      <c r="V8" s="37" t="s">
        <v>55</v>
      </c>
      <c r="W8" s="37" t="s">
        <v>56</v>
      </c>
      <c r="X8" s="37" t="s">
        <v>57</v>
      </c>
      <c r="Y8" s="38" t="s">
        <v>58</v>
      </c>
      <c r="Z8" s="2"/>
      <c r="AA8" s="2"/>
      <c r="AB8" s="2"/>
      <c r="AC8" s="2"/>
      <c r="AD8" s="2"/>
      <c r="AE8" s="2"/>
      <c r="AF8" s="2"/>
      <c r="AG8" s="2"/>
      <c r="AH8" s="2"/>
    </row>
    <row r="9" spans="1:34" ht="15.75" customHeight="1" x14ac:dyDescent="0.2">
      <c r="A9" s="34"/>
      <c r="B9" s="35" t="s">
        <v>51</v>
      </c>
      <c r="C9" s="1"/>
      <c r="D9" s="101" t="s">
        <v>130</v>
      </c>
      <c r="E9" s="1"/>
      <c r="F9" s="1"/>
      <c r="G9" s="1"/>
      <c r="H9" s="34"/>
      <c r="I9" s="7"/>
      <c r="J9" s="2"/>
      <c r="K9" s="2"/>
      <c r="L9" s="2"/>
      <c r="M9" s="2"/>
      <c r="N9" s="2"/>
      <c r="S9" s="357"/>
      <c r="T9" s="39">
        <f>(W9/2.15)*1000</f>
        <v>3281395.3488372094</v>
      </c>
      <c r="U9" s="40">
        <f>SUM(F28:F31)</f>
        <v>8654295</v>
      </c>
      <c r="V9" s="41">
        <f>U9/T9</f>
        <v>2.6373826009922041</v>
      </c>
      <c r="W9" s="42">
        <v>7055</v>
      </c>
      <c r="X9" s="43">
        <f>SUM(W28:W31)</f>
        <v>7055</v>
      </c>
      <c r="Y9" s="41">
        <f>X9/W9</f>
        <v>1</v>
      </c>
      <c r="Z9" s="2"/>
      <c r="AA9" s="2"/>
      <c r="AB9" s="2"/>
      <c r="AC9" s="2"/>
      <c r="AD9" s="2"/>
      <c r="AE9" s="2"/>
      <c r="AF9" s="2"/>
      <c r="AG9" s="2"/>
      <c r="AH9" s="2"/>
    </row>
    <row r="10" spans="1:34" ht="15.75" customHeight="1" x14ac:dyDescent="0.2">
      <c r="A10" s="34"/>
      <c r="B10" s="35" t="s">
        <v>59</v>
      </c>
      <c r="C10" s="1"/>
      <c r="D10" s="90">
        <v>43482</v>
      </c>
      <c r="E10" s="1"/>
      <c r="F10" s="1"/>
      <c r="G10" s="1"/>
      <c r="H10" s="34"/>
      <c r="I10" s="7"/>
      <c r="J10" s="2"/>
      <c r="K10" s="2"/>
      <c r="L10" s="2"/>
      <c r="M10" s="2"/>
      <c r="N10" s="2"/>
      <c r="T10" s="48"/>
      <c r="U10" s="48"/>
      <c r="V10" s="49"/>
      <c r="W10" s="50"/>
      <c r="X10" s="51"/>
      <c r="Y10" s="49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25.5" x14ac:dyDescent="0.2">
      <c r="A11" s="34"/>
      <c r="D11" s="90"/>
      <c r="E11" s="1"/>
      <c r="F11" s="1"/>
      <c r="G11" s="1"/>
      <c r="H11" s="34"/>
      <c r="I11" s="7"/>
      <c r="J11" s="2"/>
      <c r="K11" s="2"/>
      <c r="L11" s="2"/>
      <c r="M11" s="2"/>
      <c r="N11" s="2"/>
      <c r="S11" s="358" t="s">
        <v>131</v>
      </c>
      <c r="T11" s="37" t="s">
        <v>53</v>
      </c>
      <c r="U11" s="37" t="s">
        <v>54</v>
      </c>
      <c r="V11" s="37" t="s">
        <v>55</v>
      </c>
      <c r="W11" s="37" t="s">
        <v>56</v>
      </c>
      <c r="X11" s="37" t="s">
        <v>57</v>
      </c>
      <c r="Y11" s="38" t="s">
        <v>58</v>
      </c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.75" customHeight="1" x14ac:dyDescent="0.2">
      <c r="A12" s="34"/>
      <c r="B12" s="35"/>
      <c r="C12" s="1"/>
      <c r="D12" s="33"/>
      <c r="E12" s="1"/>
      <c r="F12" s="1"/>
      <c r="G12" s="1"/>
      <c r="H12" s="34"/>
      <c r="I12" s="7"/>
      <c r="J12" s="2"/>
      <c r="K12" s="2"/>
      <c r="L12" s="2"/>
      <c r="M12" s="2"/>
      <c r="N12" s="2"/>
      <c r="S12" s="358"/>
      <c r="T12" s="39">
        <f>(W12/2.15)*1000</f>
        <v>2289767.4418604653</v>
      </c>
      <c r="U12" s="40">
        <f>Q81</f>
        <v>0</v>
      </c>
      <c r="V12" s="41">
        <f>U12/T12</f>
        <v>0</v>
      </c>
      <c r="W12" s="42">
        <v>4923</v>
      </c>
      <c r="X12" s="43">
        <f>W43+W44</f>
        <v>817.36249999999995</v>
      </c>
      <c r="Y12" s="41">
        <f>X12/W12</f>
        <v>0.16602935202112531</v>
      </c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5.75" customHeight="1" thickBot="1" x14ac:dyDescent="0.25">
      <c r="B13" s="35"/>
      <c r="C13" s="1"/>
      <c r="D13" s="33"/>
      <c r="E13" s="1"/>
      <c r="F13" s="1"/>
      <c r="G13" s="1"/>
      <c r="I13" s="7"/>
      <c r="J13" s="2"/>
      <c r="K13" s="2"/>
      <c r="L13" s="2"/>
      <c r="M13" s="2"/>
      <c r="N13" s="2"/>
      <c r="T13" s="48"/>
      <c r="U13" s="48"/>
      <c r="V13" s="49"/>
      <c r="W13" s="50"/>
      <c r="X13" s="51"/>
      <c r="Y13" s="49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5.75" customHeight="1" x14ac:dyDescent="0.2">
      <c r="B14" s="63" t="s">
        <v>60</v>
      </c>
      <c r="C14" s="52"/>
      <c r="D14" s="53"/>
      <c r="E14" s="52"/>
      <c r="F14" s="52"/>
      <c r="G14" s="52"/>
      <c r="H14" s="54"/>
      <c r="I14" s="55"/>
      <c r="J14" s="52"/>
      <c r="K14" s="52"/>
      <c r="L14" s="52"/>
      <c r="M14" s="52"/>
      <c r="N14" s="52"/>
      <c r="O14" s="54"/>
      <c r="P14" s="54"/>
      <c r="Q14" s="54"/>
      <c r="R14" s="54"/>
      <c r="S14" s="54"/>
      <c r="T14" s="54"/>
      <c r="U14" s="54"/>
      <c r="V14" s="54"/>
      <c r="W14" s="52"/>
      <c r="X14" s="52"/>
      <c r="Y14" s="56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5.75" customHeight="1" x14ac:dyDescent="0.2">
      <c r="B15" s="65"/>
      <c r="C15" s="1"/>
      <c r="D15" s="33"/>
      <c r="E15" s="1"/>
      <c r="F15" s="1"/>
      <c r="G15" s="1"/>
      <c r="H15" s="34"/>
      <c r="I15" s="35"/>
      <c r="J15" s="1"/>
      <c r="K15" s="1"/>
      <c r="L15" s="1"/>
      <c r="M15" s="1"/>
      <c r="N15" s="1"/>
      <c r="O15" s="34"/>
      <c r="P15" s="34"/>
      <c r="Q15" s="34"/>
      <c r="R15" s="34"/>
      <c r="S15" s="34"/>
      <c r="T15" s="34"/>
      <c r="U15" s="34"/>
      <c r="V15" s="34"/>
      <c r="W15" s="1"/>
      <c r="X15" s="305"/>
      <c r="Y15" s="66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2.75" x14ac:dyDescent="0.2">
      <c r="B16" s="57"/>
      <c r="C16" s="1"/>
      <c r="D16" s="33"/>
      <c r="E16" s="1"/>
      <c r="F16" s="1"/>
      <c r="G16" s="1"/>
      <c r="H16" s="34"/>
      <c r="I16" s="35"/>
      <c r="J16" s="1"/>
      <c r="K16" s="1"/>
      <c r="L16" s="1"/>
      <c r="M16" s="1"/>
      <c r="N16" s="1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58"/>
      <c r="Z16" s="2"/>
      <c r="AA16" s="2"/>
      <c r="AB16" s="2"/>
      <c r="AC16" s="2"/>
      <c r="AD16" s="2"/>
      <c r="AE16" s="2"/>
      <c r="AF16" s="2"/>
      <c r="AG16" s="2"/>
      <c r="AH16" s="2"/>
    </row>
    <row r="17" spans="2:34" ht="15.75" customHeight="1" x14ac:dyDescent="0.2">
      <c r="B17" s="57"/>
      <c r="C17" s="1"/>
      <c r="D17" s="33"/>
      <c r="E17" s="1"/>
      <c r="F17" s="1"/>
      <c r="G17" s="1"/>
      <c r="H17" s="34"/>
      <c r="I17" s="35"/>
      <c r="J17" s="1"/>
      <c r="K17" s="1"/>
      <c r="L17" s="1"/>
      <c r="M17" s="1"/>
      <c r="N17" s="1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58"/>
      <c r="Z17" s="2"/>
      <c r="AA17" s="2"/>
      <c r="AB17" s="2"/>
      <c r="AC17" s="2"/>
      <c r="AD17" s="2"/>
      <c r="AE17" s="2"/>
      <c r="AF17" s="2"/>
      <c r="AG17" s="2"/>
      <c r="AH17" s="2"/>
    </row>
    <row r="18" spans="2:34" ht="15.75" customHeight="1" thickBot="1" x14ac:dyDescent="0.25">
      <c r="B18" s="59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1"/>
      <c r="P18" s="61"/>
      <c r="Q18" s="61"/>
      <c r="R18" s="61"/>
      <c r="S18" s="61"/>
      <c r="T18" s="61"/>
      <c r="U18" s="61"/>
      <c r="V18" s="61"/>
      <c r="W18" s="60"/>
      <c r="X18" s="60"/>
      <c r="Y18" s="62"/>
      <c r="Z18" s="2"/>
      <c r="AA18" s="2"/>
      <c r="AB18" s="2"/>
      <c r="AC18" s="2"/>
      <c r="AD18" s="2"/>
      <c r="AE18" s="2"/>
      <c r="AF18" s="2"/>
      <c r="AG18" s="2"/>
      <c r="AH18" s="2"/>
    </row>
    <row r="19" spans="2:34" ht="15.75" customHeight="1" x14ac:dyDescent="0.2">
      <c r="B19" s="9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6"/>
      <c r="Z19" s="2"/>
      <c r="AA19" s="2"/>
      <c r="AB19" s="2"/>
      <c r="AC19" s="2"/>
      <c r="AD19" s="2"/>
      <c r="AE19" s="2"/>
      <c r="AF19" s="2"/>
      <c r="AG19" s="2"/>
      <c r="AH19" s="2"/>
    </row>
    <row r="20" spans="2:34" ht="15.75" customHeight="1" x14ac:dyDescent="0.2">
      <c r="B20" s="352" t="s">
        <v>61</v>
      </c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52"/>
      <c r="Z20" s="2"/>
      <c r="AA20" s="2"/>
      <c r="AB20" s="2"/>
      <c r="AC20" s="2"/>
      <c r="AD20" s="2"/>
      <c r="AE20" s="2"/>
      <c r="AF20" s="2"/>
      <c r="AG20" s="2"/>
      <c r="AH20" s="2"/>
    </row>
    <row r="21" spans="2:34" ht="25.5" x14ac:dyDescent="0.2">
      <c r="B21" s="13" t="s">
        <v>62</v>
      </c>
      <c r="C21" s="13" t="s">
        <v>63</v>
      </c>
      <c r="D21" s="13" t="s">
        <v>64</v>
      </c>
      <c r="E21" s="13" t="s">
        <v>65</v>
      </c>
      <c r="F21" s="97" t="s">
        <v>66</v>
      </c>
      <c r="G21" s="13" t="s">
        <v>67</v>
      </c>
      <c r="H21" s="13" t="s">
        <v>68</v>
      </c>
      <c r="I21" s="13" t="s">
        <v>21</v>
      </c>
      <c r="J21" s="13" t="s">
        <v>69</v>
      </c>
      <c r="K21" s="13" t="s">
        <v>70</v>
      </c>
      <c r="L21" s="13" t="s">
        <v>71</v>
      </c>
      <c r="M21" s="13" t="s">
        <v>72</v>
      </c>
      <c r="N21" s="13" t="s">
        <v>73</v>
      </c>
      <c r="O21" s="13" t="s">
        <v>74</v>
      </c>
      <c r="P21" s="13" t="s">
        <v>75</v>
      </c>
      <c r="Q21" s="13" t="s">
        <v>76</v>
      </c>
      <c r="R21" s="13" t="s">
        <v>77</v>
      </c>
      <c r="S21" s="13" t="s">
        <v>78</v>
      </c>
      <c r="T21" s="13" t="s">
        <v>79</v>
      </c>
      <c r="U21" s="13" t="s">
        <v>80</v>
      </c>
      <c r="V21" s="13" t="s">
        <v>81</v>
      </c>
      <c r="W21" s="14" t="s">
        <v>82</v>
      </c>
      <c r="X21" s="14" t="s">
        <v>83</v>
      </c>
      <c r="Y21" s="15" t="s">
        <v>84</v>
      </c>
      <c r="Z21" s="2"/>
      <c r="AA21" s="2"/>
      <c r="AB21" s="2"/>
      <c r="AC21" s="2"/>
      <c r="AD21" s="2"/>
      <c r="AE21" s="2"/>
      <c r="AF21" s="2"/>
      <c r="AG21" s="2"/>
    </row>
    <row r="22" spans="2:34" ht="15.75" customHeight="1" x14ac:dyDescent="0.2">
      <c r="B22" s="10" t="s">
        <v>132</v>
      </c>
      <c r="C22" s="12" t="str">
        <f>HYPERLINK("https://www.facebook.com/ZespriMY/videos/1693121244135687/","4 May")</f>
        <v>4 May</v>
      </c>
      <c r="D22" s="3">
        <v>2958</v>
      </c>
      <c r="E22" s="3">
        <v>361792</v>
      </c>
      <c r="F22" s="94">
        <v>543184</v>
      </c>
      <c r="G22" s="25">
        <f>D22/F22</f>
        <v>5.4456685027541316E-3</v>
      </c>
      <c r="H22" s="3">
        <v>2842</v>
      </c>
      <c r="I22" s="25">
        <f>H22/F22</f>
        <v>5.2321128751951461E-3</v>
      </c>
      <c r="J22" s="3">
        <v>638</v>
      </c>
      <c r="K22" s="27">
        <f>J22/F22</f>
        <v>1.1745559515744205E-3</v>
      </c>
      <c r="L22" s="27">
        <v>4.9688503343250168E-3</v>
      </c>
      <c r="M22" s="27">
        <v>2.3527938967274442E-3</v>
      </c>
      <c r="N22" s="27">
        <v>1.5390733158561372E-3</v>
      </c>
      <c r="O22" s="27">
        <v>1.1653509676279124E-3</v>
      </c>
      <c r="P22" s="3">
        <v>44</v>
      </c>
      <c r="Q22" s="3" t="s">
        <v>34</v>
      </c>
      <c r="R22" s="3">
        <v>1</v>
      </c>
      <c r="S22" s="3">
        <v>115</v>
      </c>
      <c r="T22" s="3">
        <v>0</v>
      </c>
      <c r="U22" s="3">
        <v>1844</v>
      </c>
      <c r="V22" s="22">
        <v>352.94</v>
      </c>
      <c r="W22" s="22">
        <v>352.9375</v>
      </c>
      <c r="X22" s="22">
        <f>V22-W22</f>
        <v>2.4999999999977263E-3</v>
      </c>
      <c r="Y22" s="10">
        <v>4</v>
      </c>
      <c r="Z22" s="11"/>
      <c r="AA22" s="11"/>
      <c r="AB22" s="11"/>
      <c r="AC22" s="11"/>
      <c r="AD22" s="11"/>
      <c r="AE22" s="11"/>
      <c r="AF22" s="11"/>
      <c r="AG22" s="11"/>
    </row>
    <row r="23" spans="2:34" ht="15.75" customHeight="1" x14ac:dyDescent="0.2">
      <c r="B23" s="10" t="s">
        <v>133</v>
      </c>
      <c r="C23" s="12" t="str">
        <f>HYPERLINK("https://www.facebook.com/ZespriMY/videos/1706780652769746/","15 May")</f>
        <v>15 May</v>
      </c>
      <c r="D23" s="3">
        <v>9234</v>
      </c>
      <c r="E23" s="3">
        <v>405121</v>
      </c>
      <c r="F23" s="94">
        <v>562156</v>
      </c>
      <c r="G23" s="25">
        <f t="shared" ref="G23:G24" si="0">D23/F23</f>
        <v>1.6426045439344238E-2</v>
      </c>
      <c r="H23" s="3">
        <v>9073</v>
      </c>
      <c r="I23" s="25">
        <f t="shared" ref="I23:I24" si="1">H23/F23</f>
        <v>1.613964806921922E-2</v>
      </c>
      <c r="J23" s="3">
        <v>270</v>
      </c>
      <c r="K23" s="120">
        <f>J23/F23</f>
        <v>4.8029372629661515E-4</v>
      </c>
      <c r="L23" s="25">
        <v>8.0066743039298692E-3</v>
      </c>
      <c r="M23" s="27">
        <v>2.5348835554543578E-3</v>
      </c>
      <c r="N23" s="27">
        <v>8.9121169212816374E-4</v>
      </c>
      <c r="O23" s="120">
        <v>4.6250506976711092E-4</v>
      </c>
      <c r="P23" s="3">
        <v>36</v>
      </c>
      <c r="Q23" s="3" t="s">
        <v>34</v>
      </c>
      <c r="R23" s="3">
        <v>2</v>
      </c>
      <c r="S23" s="3">
        <v>149</v>
      </c>
      <c r="T23" s="3">
        <v>10</v>
      </c>
      <c r="U23" s="3">
        <v>4376</v>
      </c>
      <c r="V23" s="22">
        <v>352.94</v>
      </c>
      <c r="W23" s="22">
        <v>352.9375</v>
      </c>
      <c r="X23" s="22">
        <f t="shared" ref="X23:X46" si="2">V23-W23</f>
        <v>2.4999999999977263E-3</v>
      </c>
      <c r="Y23" s="10">
        <v>4</v>
      </c>
      <c r="Z23" s="2"/>
      <c r="AA23" s="2"/>
      <c r="AB23" s="2"/>
      <c r="AC23" s="2"/>
      <c r="AD23" s="2"/>
      <c r="AE23" s="2"/>
      <c r="AF23" s="2"/>
      <c r="AG23" s="2"/>
      <c r="AH23" s="2"/>
    </row>
    <row r="24" spans="2:34" ht="15.75" customHeight="1" x14ac:dyDescent="0.2">
      <c r="B24" s="10" t="s">
        <v>134</v>
      </c>
      <c r="C24" s="12" t="str">
        <f>HYPERLINK("https://www.facebook.com/ZespriMY/videos/1709274655853679/","21 May")</f>
        <v>21 May</v>
      </c>
      <c r="D24" s="3">
        <v>6011</v>
      </c>
      <c r="E24" s="3">
        <v>415818</v>
      </c>
      <c r="F24" s="94">
        <v>644892</v>
      </c>
      <c r="G24" s="25">
        <f t="shared" si="0"/>
        <v>9.3209405605899909E-3</v>
      </c>
      <c r="H24" s="3">
        <v>5874</v>
      </c>
      <c r="I24" s="25">
        <f t="shared" si="1"/>
        <v>9.1085018886883379E-3</v>
      </c>
      <c r="J24" s="3">
        <v>3669</v>
      </c>
      <c r="K24" s="29">
        <f t="shared" ref="K24" si="3">J24/F24</f>
        <v>5.6893247241398557E-3</v>
      </c>
      <c r="L24" s="25">
        <v>1.7457186629699237E-2</v>
      </c>
      <c r="M24" s="25">
        <v>1.0310253499810821E-2</v>
      </c>
      <c r="N24" s="25">
        <v>7.1066163016443064E-3</v>
      </c>
      <c r="O24" s="25">
        <v>5.5544184142461064E-3</v>
      </c>
      <c r="P24" s="3">
        <v>53</v>
      </c>
      <c r="Q24" s="3" t="s">
        <v>34</v>
      </c>
      <c r="R24" s="3">
        <v>3</v>
      </c>
      <c r="S24" s="3">
        <v>132</v>
      </c>
      <c r="T24" s="3">
        <v>2</v>
      </c>
      <c r="U24" s="3">
        <v>2411</v>
      </c>
      <c r="V24" s="22">
        <v>352.94</v>
      </c>
      <c r="W24" s="22">
        <v>352.9375</v>
      </c>
      <c r="X24" s="22">
        <f t="shared" si="2"/>
        <v>2.4999999999977263E-3</v>
      </c>
      <c r="Y24" s="10">
        <v>5</v>
      </c>
      <c r="Z24" s="2"/>
      <c r="AA24" s="2"/>
      <c r="AB24" s="2"/>
      <c r="AC24" s="2"/>
      <c r="AD24" s="2"/>
      <c r="AE24" s="2"/>
      <c r="AF24" s="2"/>
      <c r="AG24" s="2"/>
      <c r="AH24" s="2"/>
    </row>
    <row r="25" spans="2:34" ht="15.75" customHeight="1" x14ac:dyDescent="0.2">
      <c r="B25" s="68">
        <v>43266</v>
      </c>
      <c r="C25" s="12" t="str">
        <f>HYPERLINK("https://www.facebook.com/ZespriMY/videos/1711916348922843/","15 Jun")</f>
        <v>15 Jun</v>
      </c>
      <c r="D25" s="3">
        <v>4704</v>
      </c>
      <c r="E25" s="3">
        <v>519168</v>
      </c>
      <c r="F25" s="94">
        <v>540181</v>
      </c>
      <c r="G25" s="25">
        <f t="shared" ref="G25:G41" si="4">D25/F25</f>
        <v>8.7081922540778005E-3</v>
      </c>
      <c r="H25" s="3">
        <v>4505</v>
      </c>
      <c r="I25" s="25">
        <f t="shared" ref="I25:I31" si="5">H25/F25</f>
        <v>8.3397972161183016E-3</v>
      </c>
      <c r="J25" s="3">
        <v>2247</v>
      </c>
      <c r="K25" s="27">
        <f t="shared" ref="K25:K31" si="6">J25/F25</f>
        <v>4.1597168356532349E-3</v>
      </c>
      <c r="L25" s="25">
        <v>1.7566334247224542E-2</v>
      </c>
      <c r="M25" s="25">
        <v>8.3842267684350238E-3</v>
      </c>
      <c r="N25" s="25">
        <v>5.4000418378284312E-3</v>
      </c>
      <c r="O25" s="27">
        <v>3.9634863129210393E-3</v>
      </c>
      <c r="P25" s="3">
        <v>20</v>
      </c>
      <c r="Q25" s="3" t="s">
        <v>34</v>
      </c>
      <c r="R25" s="3">
        <v>4</v>
      </c>
      <c r="S25" s="3">
        <v>185</v>
      </c>
      <c r="T25" s="3">
        <v>10</v>
      </c>
      <c r="U25" s="3">
        <v>1931</v>
      </c>
      <c r="V25" s="22">
        <v>352.94</v>
      </c>
      <c r="W25" s="22">
        <v>352.9375</v>
      </c>
      <c r="X25" s="22">
        <f t="shared" ref="X25" si="7">V25-W25</f>
        <v>2.4999999999977263E-3</v>
      </c>
      <c r="Y25" s="10">
        <v>5</v>
      </c>
      <c r="Z25" s="2"/>
      <c r="AA25" s="2"/>
      <c r="AB25" s="2"/>
      <c r="AC25" s="2"/>
      <c r="AD25" s="2"/>
      <c r="AE25" s="2"/>
      <c r="AF25" s="2"/>
      <c r="AG25" s="2"/>
      <c r="AH25" s="2"/>
    </row>
    <row r="26" spans="2:34" ht="15.75" customHeight="1" x14ac:dyDescent="0.2">
      <c r="B26" s="10" t="s">
        <v>135</v>
      </c>
      <c r="C26" s="12" t="str">
        <f>HYPERLINK("https://www.facebook.com/ZespriMY/videos/1770074573107020/","30 Jun")</f>
        <v>30 Jun</v>
      </c>
      <c r="D26" s="3">
        <v>3224</v>
      </c>
      <c r="E26" s="3">
        <v>442112</v>
      </c>
      <c r="F26" s="94">
        <v>609580</v>
      </c>
      <c r="G26" s="25">
        <f t="shared" si="4"/>
        <v>5.2888874306899836E-3</v>
      </c>
      <c r="H26" s="3">
        <v>3148</v>
      </c>
      <c r="I26" s="25">
        <f t="shared" si="5"/>
        <v>5.1642114242593257E-3</v>
      </c>
      <c r="J26" s="3">
        <v>411</v>
      </c>
      <c r="K26" s="27">
        <f t="shared" si="6"/>
        <v>6.7423471898684338E-4</v>
      </c>
      <c r="L26" s="27">
        <v>3.6730207683979134E-3</v>
      </c>
      <c r="M26" s="27">
        <v>1.5436858164637947E-3</v>
      </c>
      <c r="N26" s="27">
        <v>9.4163194330522653E-4</v>
      </c>
      <c r="O26" s="27">
        <v>6.6767282391154566E-4</v>
      </c>
      <c r="P26" s="3">
        <v>31</v>
      </c>
      <c r="Q26" s="3" t="s">
        <v>34</v>
      </c>
      <c r="R26" s="3">
        <v>0</v>
      </c>
      <c r="S26" s="3">
        <v>53</v>
      </c>
      <c r="T26" s="3">
        <v>2</v>
      </c>
      <c r="U26" s="3">
        <v>1078</v>
      </c>
      <c r="V26" s="22">
        <v>352.94</v>
      </c>
      <c r="W26" s="22">
        <v>352.9375</v>
      </c>
      <c r="X26" s="22">
        <f t="shared" si="2"/>
        <v>2.4999999999977263E-3</v>
      </c>
      <c r="Y26" s="10">
        <v>5</v>
      </c>
      <c r="Z26" s="2"/>
      <c r="AA26" s="2"/>
      <c r="AB26" s="2"/>
      <c r="AC26" s="2"/>
      <c r="AD26" s="2"/>
      <c r="AE26" s="2"/>
      <c r="AF26" s="2"/>
      <c r="AG26" s="2"/>
      <c r="AH26" s="2"/>
    </row>
    <row r="27" spans="2:34" ht="15.75" customHeight="1" x14ac:dyDescent="0.2">
      <c r="B27" s="10" t="s">
        <v>136</v>
      </c>
      <c r="C27" s="12" t="str">
        <f>HYPERLINK("https://www.facebook.com/384180348363123/posts/1773384119442732/","2 Jul")</f>
        <v>2 Jul</v>
      </c>
      <c r="D27" s="3">
        <v>435</v>
      </c>
      <c r="E27" s="3">
        <v>401088</v>
      </c>
      <c r="F27" s="94">
        <v>578146</v>
      </c>
      <c r="G27" s="27">
        <f t="shared" si="4"/>
        <v>7.5240510182549047E-4</v>
      </c>
      <c r="H27" s="3" t="s">
        <v>34</v>
      </c>
      <c r="I27" s="3" t="s">
        <v>34</v>
      </c>
      <c r="J27" s="3" t="s">
        <v>34</v>
      </c>
      <c r="K27" s="3" t="s">
        <v>34</v>
      </c>
      <c r="L27" s="3" t="s">
        <v>34</v>
      </c>
      <c r="M27" s="3" t="s">
        <v>34</v>
      </c>
      <c r="N27" s="3" t="s">
        <v>34</v>
      </c>
      <c r="O27" s="3" t="s">
        <v>34</v>
      </c>
      <c r="P27" s="3">
        <v>26</v>
      </c>
      <c r="Q27" s="3">
        <v>376</v>
      </c>
      <c r="R27" s="3">
        <v>0</v>
      </c>
      <c r="S27" s="3">
        <v>45</v>
      </c>
      <c r="T27" s="3">
        <v>1</v>
      </c>
      <c r="U27" s="3">
        <v>930</v>
      </c>
      <c r="V27" s="22">
        <v>352.94</v>
      </c>
      <c r="W27" s="22">
        <v>352.9375</v>
      </c>
      <c r="X27" s="22">
        <f t="shared" si="2"/>
        <v>2.4999999999977263E-3</v>
      </c>
      <c r="Y27" s="10">
        <v>3</v>
      </c>
      <c r="Z27" s="2"/>
      <c r="AA27" s="2"/>
      <c r="AB27" s="2"/>
      <c r="AC27" s="2"/>
      <c r="AD27" s="2"/>
      <c r="AE27" s="2"/>
      <c r="AF27" s="2"/>
      <c r="AG27" s="2"/>
      <c r="AH27" s="2"/>
    </row>
    <row r="28" spans="2:34" ht="15.75" customHeight="1" x14ac:dyDescent="0.2">
      <c r="B28" s="10" t="s">
        <v>137</v>
      </c>
      <c r="C28" s="12" t="str">
        <f>HYPERLINK("https://www.facebook.com/ZespriMY/videos/1781968701917607/","6 Jul")</f>
        <v>6 Jul</v>
      </c>
      <c r="D28" s="3">
        <v>19118</v>
      </c>
      <c r="E28" s="3">
        <v>1411605</v>
      </c>
      <c r="F28" s="94">
        <v>2302787</v>
      </c>
      <c r="G28" s="25">
        <f t="shared" si="4"/>
        <v>8.3021139167452317E-3</v>
      </c>
      <c r="H28" s="3">
        <v>18775</v>
      </c>
      <c r="I28" s="25">
        <f t="shared" si="5"/>
        <v>8.1531639704410346E-3</v>
      </c>
      <c r="J28" s="3">
        <v>1374</v>
      </c>
      <c r="K28" s="27">
        <f t="shared" si="6"/>
        <v>5.966682980232214E-4</v>
      </c>
      <c r="L28" s="27">
        <v>2.773161390958E-3</v>
      </c>
      <c r="M28" s="27">
        <v>1.3062432608834426E-3</v>
      </c>
      <c r="N28" s="120">
        <v>8.4115465303564768E-4</v>
      </c>
      <c r="O28" s="120">
        <v>6.0274788766829059E-4</v>
      </c>
      <c r="P28" s="3">
        <v>102</v>
      </c>
      <c r="Q28" s="3" t="s">
        <v>34</v>
      </c>
      <c r="R28" s="3">
        <v>3</v>
      </c>
      <c r="S28" s="3">
        <v>264</v>
      </c>
      <c r="T28" s="3">
        <v>4</v>
      </c>
      <c r="U28" s="3">
        <v>5809</v>
      </c>
      <c r="V28" s="22">
        <v>1763.75</v>
      </c>
      <c r="W28" s="22">
        <v>1763.75</v>
      </c>
      <c r="X28" s="22">
        <f t="shared" si="2"/>
        <v>0</v>
      </c>
      <c r="Y28" s="10">
        <v>4</v>
      </c>
      <c r="Z28" s="2"/>
      <c r="AA28" s="2"/>
      <c r="AB28" s="2"/>
      <c r="AC28" s="2"/>
      <c r="AD28" s="2"/>
      <c r="AE28" s="2"/>
      <c r="AF28" s="2"/>
      <c r="AG28" s="2"/>
      <c r="AH28" s="2"/>
    </row>
    <row r="29" spans="2:34" ht="15.75" customHeight="1" x14ac:dyDescent="0.2">
      <c r="B29" s="10" t="s">
        <v>138</v>
      </c>
      <c r="C29" s="12" t="str">
        <f>HYPERLINK("https://www.facebook.com/ZespriMY/posts/1785722731542204","10 Jul")</f>
        <v>10 Jul</v>
      </c>
      <c r="D29" s="3">
        <v>3353</v>
      </c>
      <c r="E29" s="3">
        <v>1448456</v>
      </c>
      <c r="F29" s="94">
        <v>2327625</v>
      </c>
      <c r="G29" s="27">
        <f t="shared" si="4"/>
        <v>1.4405241394124912E-3</v>
      </c>
      <c r="H29" s="3" t="s">
        <v>34</v>
      </c>
      <c r="I29" s="3" t="s">
        <v>34</v>
      </c>
      <c r="J29" s="3" t="s">
        <v>34</v>
      </c>
      <c r="K29" s="3" t="s">
        <v>34</v>
      </c>
      <c r="L29" s="3" t="s">
        <v>34</v>
      </c>
      <c r="M29" s="3" t="s">
        <v>34</v>
      </c>
      <c r="N29" s="3" t="s">
        <v>34</v>
      </c>
      <c r="O29" s="3" t="s">
        <v>34</v>
      </c>
      <c r="P29" s="3">
        <v>66</v>
      </c>
      <c r="Q29" s="3" t="s">
        <v>34</v>
      </c>
      <c r="R29" s="3">
        <v>0</v>
      </c>
      <c r="S29" s="3">
        <v>115</v>
      </c>
      <c r="T29" s="3">
        <v>1</v>
      </c>
      <c r="U29" s="3">
        <v>4957</v>
      </c>
      <c r="V29" s="22">
        <v>1763.75</v>
      </c>
      <c r="W29" s="22">
        <v>1763.75</v>
      </c>
      <c r="X29" s="22">
        <f t="shared" si="2"/>
        <v>0</v>
      </c>
      <c r="Y29" s="10">
        <v>3</v>
      </c>
      <c r="Z29" s="2"/>
      <c r="AA29" s="2"/>
      <c r="AB29" s="2"/>
      <c r="AC29" s="2"/>
      <c r="AD29" s="2"/>
      <c r="AE29" s="2"/>
      <c r="AF29" s="2"/>
      <c r="AG29" s="2"/>
      <c r="AH29" s="2"/>
    </row>
    <row r="30" spans="2:34" ht="15.75" customHeight="1" x14ac:dyDescent="0.2">
      <c r="B30" s="10" t="s">
        <v>139</v>
      </c>
      <c r="C30" s="12" t="str">
        <f>HYPERLINK("https://www.facebook.com/ZespriMY/videos/1792591840855293/","20 Jul")</f>
        <v>20 Jul</v>
      </c>
      <c r="D30" s="3">
        <v>13693</v>
      </c>
      <c r="E30" s="3">
        <v>1212671</v>
      </c>
      <c r="F30" s="94">
        <v>2015205</v>
      </c>
      <c r="G30" s="29">
        <f t="shared" si="4"/>
        <v>6.794842212082642E-3</v>
      </c>
      <c r="H30" s="3">
        <v>13219</v>
      </c>
      <c r="I30" s="25">
        <f t="shared" si="5"/>
        <v>6.5596304098094237E-3</v>
      </c>
      <c r="J30" s="3">
        <v>5250</v>
      </c>
      <c r="K30" s="27">
        <f t="shared" si="6"/>
        <v>2.605194012519818E-3</v>
      </c>
      <c r="L30" s="25">
        <v>1.1443997012710866E-2</v>
      </c>
      <c r="M30" s="25">
        <v>5.2709277716162873E-3</v>
      </c>
      <c r="N30" s="27">
        <v>3.4284353204760806E-3</v>
      </c>
      <c r="O30" s="27">
        <v>2.5034673891738061E-3</v>
      </c>
      <c r="P30" s="3">
        <v>106</v>
      </c>
      <c r="Q30" s="3" t="s">
        <v>34</v>
      </c>
      <c r="R30" s="3">
        <v>4</v>
      </c>
      <c r="S30" s="3">
        <v>292</v>
      </c>
      <c r="T30" s="3">
        <v>6</v>
      </c>
      <c r="U30" s="3">
        <v>6016</v>
      </c>
      <c r="V30" s="22">
        <v>1763.75</v>
      </c>
      <c r="W30" s="22">
        <v>1763.75</v>
      </c>
      <c r="X30" s="22">
        <f t="shared" si="2"/>
        <v>0</v>
      </c>
      <c r="Y30" s="10">
        <v>2</v>
      </c>
      <c r="Z30" s="2"/>
      <c r="AA30" s="2"/>
      <c r="AB30" s="2"/>
      <c r="AC30" s="2"/>
      <c r="AD30" s="2"/>
      <c r="AE30" s="2"/>
      <c r="AF30" s="2"/>
      <c r="AG30" s="2"/>
      <c r="AH30" s="2"/>
    </row>
    <row r="31" spans="2:34" ht="15.75" customHeight="1" x14ac:dyDescent="0.2">
      <c r="B31" s="10" t="s">
        <v>98</v>
      </c>
      <c r="C31" s="12" t="str">
        <f>HYPERLINK("https://www.facebook.com/ZespriMY/videos/1792592344188576/","26 Jul")</f>
        <v>26 Jul</v>
      </c>
      <c r="D31" s="3">
        <v>15698</v>
      </c>
      <c r="E31" s="3">
        <v>1252607</v>
      </c>
      <c r="F31" s="94">
        <v>2008678</v>
      </c>
      <c r="G31" s="29">
        <f t="shared" si="4"/>
        <v>7.8150903230881207E-3</v>
      </c>
      <c r="H31" s="3">
        <v>15280</v>
      </c>
      <c r="I31" s="25">
        <f t="shared" si="5"/>
        <v>7.6069932562610829E-3</v>
      </c>
      <c r="J31" s="3">
        <v>5630</v>
      </c>
      <c r="K31" s="27">
        <f t="shared" si="6"/>
        <v>2.8028384838187106E-3</v>
      </c>
      <c r="L31" s="25">
        <v>1.2038265963982281E-2</v>
      </c>
      <c r="M31" s="25">
        <v>6.3131074268747899E-3</v>
      </c>
      <c r="N31" s="27">
        <v>3.6964610554802713E-3</v>
      </c>
      <c r="O31" s="27">
        <v>2.6320794074510697E-3</v>
      </c>
      <c r="P31" s="3">
        <v>74</v>
      </c>
      <c r="Q31" s="3" t="s">
        <v>34</v>
      </c>
      <c r="R31" s="3">
        <v>0</v>
      </c>
      <c r="S31" s="3">
        <v>293</v>
      </c>
      <c r="T31" s="3">
        <v>5</v>
      </c>
      <c r="U31" s="3">
        <v>5580</v>
      </c>
      <c r="V31" s="22">
        <v>1763.75</v>
      </c>
      <c r="W31" s="22">
        <v>1763.75</v>
      </c>
      <c r="X31" s="22">
        <f t="shared" si="2"/>
        <v>0</v>
      </c>
      <c r="Y31" s="10">
        <v>4</v>
      </c>
      <c r="Z31" s="2"/>
      <c r="AA31" s="2"/>
      <c r="AB31" s="2"/>
      <c r="AC31" s="2"/>
      <c r="AD31" s="2"/>
      <c r="AE31" s="2"/>
      <c r="AF31" s="2"/>
      <c r="AG31" s="2"/>
      <c r="AH31" s="2"/>
    </row>
    <row r="32" spans="2:34" ht="15" customHeight="1" x14ac:dyDescent="0.2">
      <c r="B32" s="10" t="s">
        <v>140</v>
      </c>
      <c r="C32" s="12" t="str">
        <f>HYPERLINK("https://www.facebook.com/384180348363123/posts/1848645298583280/","9 Aug")</f>
        <v>9 Aug</v>
      </c>
      <c r="D32" s="3">
        <v>391</v>
      </c>
      <c r="E32" s="3">
        <v>433791</v>
      </c>
      <c r="F32" s="94">
        <v>615720</v>
      </c>
      <c r="G32" s="27">
        <f t="shared" si="4"/>
        <v>6.3502890924446178E-4</v>
      </c>
      <c r="H32" s="3" t="s">
        <v>34</v>
      </c>
      <c r="I32" s="3" t="s">
        <v>34</v>
      </c>
      <c r="J32" s="3" t="s">
        <v>34</v>
      </c>
      <c r="K32" s="3" t="s">
        <v>34</v>
      </c>
      <c r="L32" s="3" t="s">
        <v>34</v>
      </c>
      <c r="M32" s="3" t="s">
        <v>34</v>
      </c>
      <c r="N32" s="3" t="s">
        <v>34</v>
      </c>
      <c r="O32" s="3" t="s">
        <v>34</v>
      </c>
      <c r="P32" s="3">
        <v>28</v>
      </c>
      <c r="Q32" s="3">
        <v>340</v>
      </c>
      <c r="R32" s="3">
        <v>0</v>
      </c>
      <c r="S32" s="3">
        <v>48</v>
      </c>
      <c r="T32" s="3">
        <v>3</v>
      </c>
      <c r="U32" s="3">
        <v>729</v>
      </c>
      <c r="V32" s="22">
        <v>352.94</v>
      </c>
      <c r="W32" s="22">
        <v>352.875</v>
      </c>
      <c r="X32" s="22">
        <f t="shared" si="2"/>
        <v>6.4999999999997726E-2</v>
      </c>
      <c r="Y32" s="10">
        <v>7</v>
      </c>
      <c r="Z32" s="2"/>
      <c r="AA32" s="2"/>
      <c r="AB32" s="2"/>
      <c r="AC32" s="2"/>
      <c r="AD32" s="2"/>
      <c r="AE32" s="2"/>
      <c r="AF32" s="2"/>
      <c r="AG32" s="2"/>
      <c r="AH32" s="2"/>
    </row>
    <row r="33" spans="2:34" ht="15" customHeight="1" x14ac:dyDescent="0.2">
      <c r="B33" s="71" t="s">
        <v>102</v>
      </c>
      <c r="C33" s="142" t="str">
        <f>HYPERLINK("https://www.facebook.com/384180348363123/posts/1836695476444929/","22 Aug")</f>
        <v>22 Aug</v>
      </c>
      <c r="D33" s="69">
        <v>889</v>
      </c>
      <c r="E33" s="69">
        <v>453248</v>
      </c>
      <c r="F33" s="95">
        <v>615150</v>
      </c>
      <c r="G33" s="27">
        <f t="shared" si="4"/>
        <v>1.4451759733398357E-3</v>
      </c>
      <c r="H33" s="3" t="s">
        <v>34</v>
      </c>
      <c r="I33" s="3" t="s">
        <v>34</v>
      </c>
      <c r="J33" s="3" t="s">
        <v>34</v>
      </c>
      <c r="K33" s="3" t="s">
        <v>34</v>
      </c>
      <c r="L33" s="3" t="s">
        <v>34</v>
      </c>
      <c r="M33" s="3" t="s">
        <v>34</v>
      </c>
      <c r="N33" s="3" t="s">
        <v>34</v>
      </c>
      <c r="O33" s="3" t="s">
        <v>34</v>
      </c>
      <c r="P33" s="69">
        <v>24</v>
      </c>
      <c r="Q33" s="69">
        <v>523</v>
      </c>
      <c r="R33" s="69">
        <v>3</v>
      </c>
      <c r="S33" s="69">
        <v>350</v>
      </c>
      <c r="T33" s="69">
        <v>13</v>
      </c>
      <c r="U33" s="69">
        <v>1178</v>
      </c>
      <c r="V33" s="70">
        <v>352.9375</v>
      </c>
      <c r="W33" s="70">
        <v>352.9375</v>
      </c>
      <c r="X33" s="22">
        <f t="shared" si="2"/>
        <v>0</v>
      </c>
      <c r="Y33" s="71">
        <v>3</v>
      </c>
      <c r="Z33" s="2"/>
      <c r="AA33" s="2"/>
      <c r="AB33" s="2"/>
      <c r="AC33" s="2"/>
      <c r="AD33" s="2"/>
      <c r="AE33" s="2"/>
      <c r="AF33" s="2"/>
      <c r="AG33" s="2"/>
      <c r="AH33" s="2"/>
    </row>
    <row r="34" spans="2:34" ht="15" customHeight="1" x14ac:dyDescent="0.2">
      <c r="B34" s="71" t="s">
        <v>141</v>
      </c>
      <c r="C34" s="142" t="str">
        <f>HYPERLINK("https://www.facebook.com/384180348363123/posts/1836695476444929/","31 Aug")</f>
        <v>31 Aug</v>
      </c>
      <c r="D34" s="69">
        <v>705</v>
      </c>
      <c r="E34" s="69">
        <v>473855</v>
      </c>
      <c r="F34" s="95">
        <v>654518</v>
      </c>
      <c r="G34" s="27">
        <f t="shared" si="4"/>
        <v>1.0771285128904017E-3</v>
      </c>
      <c r="H34" s="3" t="s">
        <v>34</v>
      </c>
      <c r="I34" s="3" t="s">
        <v>34</v>
      </c>
      <c r="J34" s="3" t="s">
        <v>34</v>
      </c>
      <c r="K34" s="3" t="s">
        <v>34</v>
      </c>
      <c r="L34" s="3" t="s">
        <v>34</v>
      </c>
      <c r="M34" s="3" t="s">
        <v>34</v>
      </c>
      <c r="N34" s="3" t="s">
        <v>34</v>
      </c>
      <c r="O34" s="3" t="s">
        <v>34</v>
      </c>
      <c r="P34" s="69">
        <v>20</v>
      </c>
      <c r="Q34" s="69">
        <v>492</v>
      </c>
      <c r="R34" s="69">
        <v>1</v>
      </c>
      <c r="S34" s="69">
        <v>198</v>
      </c>
      <c r="T34" s="69">
        <v>14</v>
      </c>
      <c r="U34" s="69">
        <v>1069</v>
      </c>
      <c r="V34" s="70">
        <v>352.9375</v>
      </c>
      <c r="W34" s="70">
        <v>352.88749999999999</v>
      </c>
      <c r="X34" s="22">
        <f t="shared" si="2"/>
        <v>5.0000000000011369E-2</v>
      </c>
      <c r="Y34" s="71">
        <v>6</v>
      </c>
      <c r="Z34" s="2"/>
      <c r="AA34" s="2"/>
      <c r="AB34" s="2"/>
      <c r="AC34" s="2"/>
      <c r="AD34" s="2"/>
      <c r="AE34" s="2"/>
      <c r="AF34" s="2"/>
      <c r="AG34" s="2"/>
      <c r="AH34" s="2"/>
    </row>
    <row r="35" spans="2:34" ht="15" customHeight="1" x14ac:dyDescent="0.2">
      <c r="B35" s="71" t="s">
        <v>105</v>
      </c>
      <c r="C35" s="142" t="str">
        <f>HYPERLINK("https://www.facebook.com/ZespriMY/videos/2175468106112283/","5 Sept")</f>
        <v>5 Sept</v>
      </c>
      <c r="D35" s="69">
        <v>8134</v>
      </c>
      <c r="E35" s="69">
        <v>384960</v>
      </c>
      <c r="F35" s="95">
        <v>558567</v>
      </c>
      <c r="G35" s="27">
        <f t="shared" si="4"/>
        <v>1.4562263792884292E-2</v>
      </c>
      <c r="H35" s="69">
        <v>8020</v>
      </c>
      <c r="I35" s="25">
        <f t="shared" ref="I35:I41" si="8">H35/F35</f>
        <v>1.4358170103138924E-2</v>
      </c>
      <c r="J35" s="69">
        <v>4730</v>
      </c>
      <c r="K35" s="27">
        <f t="shared" ref="K35:K41" si="9">J35/F35</f>
        <v>8.4680978289086179E-3</v>
      </c>
      <c r="L35" s="181">
        <v>4.1132039665787629E-2</v>
      </c>
      <c r="M35" s="181">
        <v>1.7859988148243629E-2</v>
      </c>
      <c r="N35" s="181">
        <v>1.2166848381662361E-2</v>
      </c>
      <c r="O35" s="180">
        <v>8.5074843304384258E-3</v>
      </c>
      <c r="P35" s="69">
        <v>23</v>
      </c>
      <c r="Q35" s="69" t="s">
        <v>34</v>
      </c>
      <c r="R35" s="69">
        <v>1</v>
      </c>
      <c r="S35" s="69">
        <v>112</v>
      </c>
      <c r="T35" s="69">
        <v>1</v>
      </c>
      <c r="U35" s="69">
        <v>2145</v>
      </c>
      <c r="V35" s="70">
        <v>352.9375</v>
      </c>
      <c r="W35" s="70">
        <v>352.9375</v>
      </c>
      <c r="X35" s="22">
        <f t="shared" si="2"/>
        <v>0</v>
      </c>
      <c r="Y35" s="71">
        <v>6</v>
      </c>
      <c r="Z35" s="2"/>
      <c r="AA35" s="2"/>
      <c r="AB35" s="2"/>
      <c r="AC35" s="2"/>
      <c r="AD35" s="2"/>
      <c r="AE35" s="2"/>
      <c r="AF35" s="2"/>
      <c r="AG35" s="2"/>
      <c r="AH35" s="2"/>
    </row>
    <row r="36" spans="2:34" ht="15" customHeight="1" x14ac:dyDescent="0.2">
      <c r="B36" s="71" t="s">
        <v>142</v>
      </c>
      <c r="C36" s="142" t="str">
        <f>HYPERLINK("https://www.facebook.com/384180348363123/posts/1898555343592275/","9 Sept")</f>
        <v>9 Sept</v>
      </c>
      <c r="D36" s="69">
        <v>469</v>
      </c>
      <c r="E36" s="69">
        <v>455676</v>
      </c>
      <c r="F36" s="95">
        <v>667566</v>
      </c>
      <c r="G36" s="27">
        <f t="shared" si="4"/>
        <v>7.0255225700529981E-4</v>
      </c>
      <c r="H36" s="3" t="s">
        <v>34</v>
      </c>
      <c r="I36" s="3" t="s">
        <v>34</v>
      </c>
      <c r="J36" s="3" t="s">
        <v>34</v>
      </c>
      <c r="K36" s="3" t="s">
        <v>34</v>
      </c>
      <c r="L36" s="3" t="s">
        <v>34</v>
      </c>
      <c r="M36" s="3" t="s">
        <v>34</v>
      </c>
      <c r="N36" s="3" t="s">
        <v>34</v>
      </c>
      <c r="O36" s="3" t="s">
        <v>34</v>
      </c>
      <c r="P36" s="69">
        <v>31</v>
      </c>
      <c r="Q36" s="69">
        <v>395</v>
      </c>
      <c r="R36" s="69">
        <v>0</v>
      </c>
      <c r="S36" s="69">
        <v>73</v>
      </c>
      <c r="T36" s="69">
        <v>1</v>
      </c>
      <c r="U36" s="69">
        <v>914</v>
      </c>
      <c r="V36" s="70">
        <v>352.9375</v>
      </c>
      <c r="W36" s="70">
        <v>352.9375</v>
      </c>
      <c r="X36" s="22">
        <f t="shared" si="2"/>
        <v>0</v>
      </c>
      <c r="Y36" s="71">
        <v>4</v>
      </c>
      <c r="Z36" s="2"/>
      <c r="AA36" s="2"/>
      <c r="AB36" s="2"/>
      <c r="AC36" s="2"/>
      <c r="AD36" s="2"/>
      <c r="AE36" s="2"/>
      <c r="AF36" s="2"/>
      <c r="AG36" s="2"/>
      <c r="AH36" s="2"/>
    </row>
    <row r="37" spans="2:34" ht="15" customHeight="1" x14ac:dyDescent="0.2">
      <c r="B37" s="71" t="s">
        <v>143</v>
      </c>
      <c r="C37" s="142" t="str">
        <f>HYPERLINK("https://www.facebook.com/ZespriMY/videos/266810450620483/","28 Sept")</f>
        <v>28 Sept</v>
      </c>
      <c r="D37" s="69">
        <v>10904</v>
      </c>
      <c r="E37" s="69">
        <v>450303</v>
      </c>
      <c r="F37" s="95">
        <v>681019</v>
      </c>
      <c r="G37" s="27">
        <f t="shared" si="4"/>
        <v>1.6011300712608607E-2</v>
      </c>
      <c r="H37" s="69">
        <v>10803</v>
      </c>
      <c r="I37" s="25">
        <f t="shared" si="8"/>
        <v>1.5862993543498786E-2</v>
      </c>
      <c r="J37" s="69">
        <v>5721</v>
      </c>
      <c r="K37" s="27">
        <f t="shared" si="9"/>
        <v>8.4006466779928315E-3</v>
      </c>
      <c r="L37" s="180">
        <v>1.6616276491551632E-2</v>
      </c>
      <c r="M37" s="180">
        <v>1.1429930736146862E-2</v>
      </c>
      <c r="N37" s="180">
        <v>1.0001189394128505E-2</v>
      </c>
      <c r="O37" s="180">
        <v>8.3096066335887845E-3</v>
      </c>
      <c r="P37" s="69">
        <v>1</v>
      </c>
      <c r="Q37" s="69" t="s">
        <v>34</v>
      </c>
      <c r="R37" s="69">
        <v>0</v>
      </c>
      <c r="S37" s="69">
        <v>101</v>
      </c>
      <c r="T37" s="69">
        <v>0</v>
      </c>
      <c r="U37" s="69">
        <v>2614</v>
      </c>
      <c r="V37" s="70">
        <v>352.9375</v>
      </c>
      <c r="W37" s="70">
        <v>352.9375</v>
      </c>
      <c r="X37" s="22">
        <f t="shared" si="2"/>
        <v>0</v>
      </c>
      <c r="Y37" s="71">
        <v>6</v>
      </c>
      <c r="Z37" s="2"/>
      <c r="AA37" s="2"/>
      <c r="AB37" s="2"/>
      <c r="AC37" s="2"/>
      <c r="AD37" s="2"/>
      <c r="AE37" s="2"/>
      <c r="AF37" s="2"/>
      <c r="AG37" s="2"/>
      <c r="AH37" s="2"/>
    </row>
    <row r="38" spans="2:34" ht="15" customHeight="1" x14ac:dyDescent="0.2">
      <c r="B38" s="71" t="s">
        <v>144</v>
      </c>
      <c r="C38" s="142" t="str">
        <f>HYPERLINK("https://www.facebook.com/384180348363123/posts/1948800865234389/","12 Oct")</f>
        <v>12 Oct</v>
      </c>
      <c r="D38" s="69">
        <v>3509</v>
      </c>
      <c r="E38" s="69">
        <v>409984</v>
      </c>
      <c r="F38" s="95">
        <v>605454</v>
      </c>
      <c r="G38" s="27">
        <f t="shared" si="4"/>
        <v>5.795650866952733E-3</v>
      </c>
      <c r="H38" s="69">
        <v>4421</v>
      </c>
      <c r="I38" s="25">
        <f t="shared" si="8"/>
        <v>7.30195853029297E-3</v>
      </c>
      <c r="J38" s="69">
        <v>1172</v>
      </c>
      <c r="K38" s="27">
        <f t="shared" si="9"/>
        <v>1.935737479643375E-3</v>
      </c>
      <c r="L38" s="224">
        <v>6.8850880013233886E-3</v>
      </c>
      <c r="M38" s="224">
        <v>3.4818987954764666E-3</v>
      </c>
      <c r="N38" s="224">
        <v>2.1104842507447394E-3</v>
      </c>
      <c r="O38" s="224">
        <v>1.5181612372613866E-3</v>
      </c>
      <c r="P38" s="69">
        <v>0</v>
      </c>
      <c r="Q38" s="69" t="s">
        <v>34</v>
      </c>
      <c r="R38" s="69">
        <v>0</v>
      </c>
      <c r="S38" s="69">
        <v>107</v>
      </c>
      <c r="T38" s="69">
        <v>5</v>
      </c>
      <c r="U38" s="69">
        <v>1528</v>
      </c>
      <c r="V38" s="70">
        <v>352.9375</v>
      </c>
      <c r="W38" s="70">
        <v>352.9375</v>
      </c>
      <c r="X38" s="22">
        <f t="shared" si="2"/>
        <v>0</v>
      </c>
      <c r="Y38" s="71">
        <v>6</v>
      </c>
      <c r="Z38" s="2"/>
      <c r="AA38" s="2"/>
      <c r="AB38" s="2"/>
      <c r="AC38" s="2"/>
      <c r="AD38" s="2"/>
      <c r="AE38" s="2"/>
      <c r="AF38" s="2"/>
      <c r="AG38" s="2"/>
      <c r="AH38" s="2"/>
    </row>
    <row r="39" spans="2:34" ht="15" customHeight="1" x14ac:dyDescent="0.2">
      <c r="B39" s="71" t="s">
        <v>145</v>
      </c>
      <c r="C39" s="142" t="str">
        <f>HYPERLINK("https://www.facebook.com/384180348363123/posts/1948441671936975/","16 Oct")</f>
        <v>16 Oct</v>
      </c>
      <c r="D39" s="69">
        <v>4533</v>
      </c>
      <c r="E39" s="69">
        <v>481152</v>
      </c>
      <c r="F39" s="95">
        <v>749591</v>
      </c>
      <c r="G39" s="27">
        <f t="shared" si="4"/>
        <v>6.0472977930631508E-3</v>
      </c>
      <c r="H39" s="69">
        <v>3482</v>
      </c>
      <c r="I39" s="27">
        <f t="shared" si="8"/>
        <v>4.6451998489843126E-3</v>
      </c>
      <c r="J39" s="69">
        <v>774</v>
      </c>
      <c r="K39" s="27">
        <f t="shared" si="9"/>
        <v>1.0325630910723315E-3</v>
      </c>
      <c r="L39" s="224">
        <v>5.624623224177349E-3</v>
      </c>
      <c r="M39" s="224">
        <v>2.5450140473401049E-3</v>
      </c>
      <c r="N39" s="224">
        <v>1.6279559129633633E-3</v>
      </c>
      <c r="O39" s="224">
        <v>1.1672941524392324E-3</v>
      </c>
      <c r="P39" s="69">
        <v>0</v>
      </c>
      <c r="Q39" s="69" t="s">
        <v>34</v>
      </c>
      <c r="R39" s="69">
        <v>5</v>
      </c>
      <c r="S39" s="69">
        <v>64</v>
      </c>
      <c r="T39" s="69">
        <v>0</v>
      </c>
      <c r="U39" s="69">
        <v>1445</v>
      </c>
      <c r="V39" s="70">
        <v>352.9375</v>
      </c>
      <c r="W39" s="70">
        <v>352.72500000000002</v>
      </c>
      <c r="X39" s="22">
        <f t="shared" si="2"/>
        <v>0.21249999999997726</v>
      </c>
      <c r="Y39" s="71">
        <v>6</v>
      </c>
      <c r="Z39" s="2"/>
      <c r="AA39" s="2"/>
      <c r="AB39" s="2"/>
      <c r="AC39" s="2"/>
      <c r="AD39" s="2"/>
      <c r="AE39" s="2"/>
      <c r="AF39" s="2"/>
      <c r="AG39" s="2"/>
      <c r="AH39" s="2"/>
    </row>
    <row r="40" spans="2:34" ht="15" customHeight="1" x14ac:dyDescent="0.2">
      <c r="B40" s="82" t="s">
        <v>146</v>
      </c>
      <c r="C40" s="142" t="str">
        <f>HYPERLINK("https://www.facebook.com/384180348363123/posts/1948442175270258/","19 Oct")</f>
        <v>19 Oct</v>
      </c>
      <c r="D40" s="69">
        <v>3551</v>
      </c>
      <c r="E40" s="69">
        <v>446343</v>
      </c>
      <c r="F40" s="95">
        <v>703336</v>
      </c>
      <c r="G40" s="27">
        <f t="shared" si="4"/>
        <v>5.0487960235221854E-3</v>
      </c>
      <c r="H40" s="3" t="s">
        <v>34</v>
      </c>
      <c r="I40" s="3" t="s">
        <v>34</v>
      </c>
      <c r="J40" s="3" t="s">
        <v>34</v>
      </c>
      <c r="K40" s="3" t="s">
        <v>34</v>
      </c>
      <c r="L40" s="3" t="s">
        <v>34</v>
      </c>
      <c r="M40" s="3" t="s">
        <v>34</v>
      </c>
      <c r="N40" s="3" t="s">
        <v>34</v>
      </c>
      <c r="O40" s="3" t="s">
        <v>34</v>
      </c>
      <c r="P40" s="69">
        <v>1</v>
      </c>
      <c r="Q40" s="69">
        <v>511</v>
      </c>
      <c r="R40" s="69">
        <v>0</v>
      </c>
      <c r="S40" s="69">
        <v>74</v>
      </c>
      <c r="T40" s="69">
        <v>1</v>
      </c>
      <c r="U40" s="69">
        <v>1152</v>
      </c>
      <c r="V40" s="70">
        <v>352.9375</v>
      </c>
      <c r="W40" s="70">
        <v>352.9375</v>
      </c>
      <c r="X40" s="22">
        <f t="shared" si="2"/>
        <v>0</v>
      </c>
      <c r="Y40" s="71">
        <v>6</v>
      </c>
      <c r="Z40" s="2"/>
      <c r="AA40" s="2"/>
      <c r="AB40" s="2"/>
      <c r="AC40" s="2"/>
      <c r="AD40" s="2"/>
      <c r="AE40" s="2"/>
      <c r="AF40" s="2"/>
      <c r="AG40" s="2"/>
      <c r="AH40" s="2"/>
    </row>
    <row r="41" spans="2:34" ht="15.75" customHeight="1" x14ac:dyDescent="0.2">
      <c r="B41" s="71" t="s">
        <v>147</v>
      </c>
      <c r="C41" s="142" t="str">
        <f>HYPERLINK("https://www.facebook.com/384180348363123/posts/1990005954447213/","6 Nov ")</f>
        <v xml:space="preserve">6 Nov </v>
      </c>
      <c r="D41" s="69">
        <v>5482</v>
      </c>
      <c r="E41" s="69">
        <v>507644</v>
      </c>
      <c r="F41" s="95">
        <v>720984</v>
      </c>
      <c r="G41" s="27">
        <f t="shared" si="4"/>
        <v>7.6034974423842966E-3</v>
      </c>
      <c r="H41" s="69">
        <v>5329</v>
      </c>
      <c r="I41" s="27">
        <f t="shared" si="8"/>
        <v>7.3912874626898793E-3</v>
      </c>
      <c r="J41" s="69">
        <v>2545</v>
      </c>
      <c r="K41" s="27">
        <f t="shared" si="9"/>
        <v>3.5298980282502802E-3</v>
      </c>
      <c r="L41" s="224">
        <v>1.4044694473108974E-2</v>
      </c>
      <c r="M41" s="224">
        <v>7.1957214029714943E-3</v>
      </c>
      <c r="N41" s="224">
        <v>4.7795790197840728E-3</v>
      </c>
      <c r="O41" s="224">
        <v>3.4841272483161902E-3</v>
      </c>
      <c r="P41" s="69">
        <v>0</v>
      </c>
      <c r="Q41" s="69" t="s">
        <v>34</v>
      </c>
      <c r="R41" s="69">
        <v>0</v>
      </c>
      <c r="S41" s="69">
        <v>146</v>
      </c>
      <c r="T41" s="69">
        <v>7</v>
      </c>
      <c r="U41" s="69">
        <v>2069</v>
      </c>
      <c r="V41" s="70">
        <v>352.9375</v>
      </c>
      <c r="W41" s="70">
        <v>352.9375</v>
      </c>
      <c r="X41" s="22">
        <f t="shared" si="2"/>
        <v>0</v>
      </c>
      <c r="Y41" s="71">
        <v>4</v>
      </c>
      <c r="Z41" s="2"/>
      <c r="AA41" s="2"/>
      <c r="AB41" s="2"/>
      <c r="AC41" s="2"/>
      <c r="AD41" s="2"/>
      <c r="AE41" s="2"/>
      <c r="AF41" s="2"/>
      <c r="AG41" s="2"/>
      <c r="AH41" s="2"/>
    </row>
    <row r="42" spans="2:34" ht="15" customHeight="1" x14ac:dyDescent="0.2">
      <c r="B42" s="71" t="s">
        <v>148</v>
      </c>
      <c r="C42" s="142" t="str">
        <f>HYPERLINK("https://www.facebook.com/384180348363123/posts/2002121556568986/","14 Nov ")</f>
        <v xml:space="preserve">14 Nov </v>
      </c>
      <c r="D42" s="69">
        <v>5134</v>
      </c>
      <c r="E42" s="69">
        <v>572640</v>
      </c>
      <c r="F42" s="95">
        <v>958949</v>
      </c>
      <c r="G42" s="27">
        <f>D42/F42</f>
        <v>5.3537779381385249E-3</v>
      </c>
      <c r="H42" s="69">
        <v>5023</v>
      </c>
      <c r="I42" s="27">
        <f t="shared" ref="I42:I46" si="10">H42/F42</f>
        <v>5.2380262141156616E-3</v>
      </c>
      <c r="J42" s="69">
        <v>2328</v>
      </c>
      <c r="K42" s="27">
        <f t="shared" ref="K42:K46" si="11">J42/F42</f>
        <v>2.4276577795065224E-3</v>
      </c>
      <c r="L42" s="224">
        <v>1.2592953327027818E-2</v>
      </c>
      <c r="M42" s="224">
        <v>5.4559731539424935E-3</v>
      </c>
      <c r="N42" s="224">
        <v>3.4683804873877548E-3</v>
      </c>
      <c r="O42" s="224">
        <v>2.5298529953104911E-3</v>
      </c>
      <c r="P42" s="69">
        <v>0</v>
      </c>
      <c r="Q42" s="69" t="s">
        <v>34</v>
      </c>
      <c r="R42" s="69">
        <v>2</v>
      </c>
      <c r="S42" s="69">
        <v>107</v>
      </c>
      <c r="T42" s="69">
        <v>2</v>
      </c>
      <c r="U42" s="69">
        <v>2051</v>
      </c>
      <c r="V42" s="70">
        <v>464.43</v>
      </c>
      <c r="W42" s="70">
        <v>464.42500000000001</v>
      </c>
      <c r="X42" s="22">
        <f t="shared" si="2"/>
        <v>4.9999999999954525E-3</v>
      </c>
      <c r="Y42" s="71">
        <v>5</v>
      </c>
      <c r="Z42" s="2"/>
      <c r="AA42" s="2"/>
      <c r="AB42" s="2"/>
      <c r="AC42" s="2"/>
      <c r="AD42" s="2"/>
      <c r="AE42" s="2"/>
      <c r="AF42" s="2"/>
      <c r="AG42" s="2"/>
      <c r="AH42" s="2"/>
    </row>
    <row r="43" spans="2:34" ht="15" customHeight="1" x14ac:dyDescent="0.2">
      <c r="B43" s="71" t="s">
        <v>148</v>
      </c>
      <c r="C43" s="142" t="str">
        <f>HYPERLINK("https://www.facebook.com/384180348363123/posts/2002121556568986/","16Nov ")</f>
        <v xml:space="preserve">16Nov </v>
      </c>
      <c r="D43" s="69">
        <v>3567</v>
      </c>
      <c r="E43" s="69">
        <v>463344</v>
      </c>
      <c r="F43" s="95">
        <v>746233</v>
      </c>
      <c r="G43" s="27">
        <f>D43/F43</f>
        <v>4.7800083888008167E-3</v>
      </c>
      <c r="H43" s="69">
        <v>3503</v>
      </c>
      <c r="I43" s="27">
        <f t="shared" si="10"/>
        <v>4.6942442909922236E-3</v>
      </c>
      <c r="J43" s="69">
        <v>1690</v>
      </c>
      <c r="K43" s="27">
        <f t="shared" si="11"/>
        <v>2.2647082077581668E-3</v>
      </c>
      <c r="L43" s="224">
        <v>1.039219653915064E-2</v>
      </c>
      <c r="M43" s="224">
        <v>4.6245609615227414E-3</v>
      </c>
      <c r="N43" s="224">
        <v>2.9990632952442467E-3</v>
      </c>
      <c r="O43" s="224">
        <v>2.2526476315038331E-3</v>
      </c>
      <c r="P43" s="69">
        <v>0</v>
      </c>
      <c r="Q43" s="69" t="s">
        <v>34</v>
      </c>
      <c r="R43" s="69">
        <v>1</v>
      </c>
      <c r="S43" s="69">
        <v>63</v>
      </c>
      <c r="T43" s="69">
        <v>0</v>
      </c>
      <c r="U43" s="69">
        <v>1474</v>
      </c>
      <c r="V43" s="70">
        <v>352.9375</v>
      </c>
      <c r="W43" s="70">
        <v>352.9375</v>
      </c>
      <c r="X43" s="22">
        <f t="shared" si="2"/>
        <v>0</v>
      </c>
      <c r="Y43" s="71">
        <v>6</v>
      </c>
      <c r="Z43" s="2"/>
      <c r="AA43" s="2"/>
      <c r="AB43" s="2"/>
      <c r="AC43" s="2"/>
      <c r="AD43" s="2"/>
      <c r="AE43" s="2"/>
      <c r="AF43" s="2"/>
      <c r="AG43" s="2"/>
      <c r="AH43" s="2"/>
    </row>
    <row r="44" spans="2:34" ht="15" customHeight="1" x14ac:dyDescent="0.2">
      <c r="B44" s="71" t="s">
        <v>149</v>
      </c>
      <c r="C44" s="142" t="str">
        <f>HYPERLINK("https://www.facebook.com/384180348363123/posts/2002123556568786/","28 Nov ")</f>
        <v xml:space="preserve">28 Nov </v>
      </c>
      <c r="D44" s="69">
        <v>5108</v>
      </c>
      <c r="E44" s="69">
        <v>488932</v>
      </c>
      <c r="F44" s="95">
        <v>967437</v>
      </c>
      <c r="G44" s="27">
        <f>D44/F44</f>
        <v>5.2799303727271126E-3</v>
      </c>
      <c r="H44" s="69">
        <v>4980</v>
      </c>
      <c r="I44" s="27">
        <f t="shared" si="10"/>
        <v>5.147622015697146E-3</v>
      </c>
      <c r="J44" s="69">
        <v>2241</v>
      </c>
      <c r="K44" s="27">
        <f t="shared" si="11"/>
        <v>2.3164299070637159E-3</v>
      </c>
      <c r="L44" s="224">
        <v>1.2759487181077424E-2</v>
      </c>
      <c r="M44" s="224">
        <v>5.5094026794509617E-3</v>
      </c>
      <c r="N44" s="224">
        <v>3.4245123971896876E-3</v>
      </c>
      <c r="O44" s="224">
        <v>2.5200607378051492E-3</v>
      </c>
      <c r="P44" s="69">
        <v>1</v>
      </c>
      <c r="Q44" s="69"/>
      <c r="R44" s="69">
        <v>1</v>
      </c>
      <c r="S44" s="69">
        <v>127</v>
      </c>
      <c r="T44" s="69">
        <v>0</v>
      </c>
      <c r="U44" s="69">
        <v>2040</v>
      </c>
      <c r="V44" s="70">
        <v>464.43</v>
      </c>
      <c r="W44" s="70">
        <v>464.42500000000001</v>
      </c>
      <c r="X44" s="22">
        <f t="shared" si="2"/>
        <v>4.9999999999954525E-3</v>
      </c>
      <c r="Y44" s="71">
        <v>5</v>
      </c>
      <c r="Z44" s="2"/>
      <c r="AA44" s="2"/>
      <c r="AB44" s="2"/>
      <c r="AC44" s="2"/>
      <c r="AD44" s="2"/>
      <c r="AE44" s="2"/>
      <c r="AF44" s="2"/>
      <c r="AG44" s="2"/>
      <c r="AH44" s="2"/>
    </row>
    <row r="45" spans="2:34" ht="15" customHeight="1" x14ac:dyDescent="0.2">
      <c r="B45" s="71" t="s">
        <v>150</v>
      </c>
      <c r="C45" s="142" t="str">
        <f>HYPERLINK("https://www.facebook.com/ZespriMY/posts/2050153595099115","19 Dec")</f>
        <v>19 Dec</v>
      </c>
      <c r="D45" s="69">
        <v>846</v>
      </c>
      <c r="E45" s="69">
        <v>482175</v>
      </c>
      <c r="F45" s="95">
        <v>853595</v>
      </c>
      <c r="G45" s="27">
        <f>D45/F45</f>
        <v>9.9110233775971039E-4</v>
      </c>
      <c r="H45" s="3" t="s">
        <v>34</v>
      </c>
      <c r="I45" s="3" t="s">
        <v>34</v>
      </c>
      <c r="J45" s="3" t="s">
        <v>34</v>
      </c>
      <c r="K45" s="3" t="s">
        <v>34</v>
      </c>
      <c r="L45" s="3" t="s">
        <v>34</v>
      </c>
      <c r="M45" s="3" t="s">
        <v>34</v>
      </c>
      <c r="N45" s="3" t="s">
        <v>34</v>
      </c>
      <c r="O45" s="3" t="s">
        <v>34</v>
      </c>
      <c r="P45" s="69">
        <v>2</v>
      </c>
      <c r="Q45" s="69"/>
      <c r="R45" s="69"/>
      <c r="S45" s="69">
        <v>123</v>
      </c>
      <c r="T45" s="69">
        <v>1</v>
      </c>
      <c r="U45" s="69">
        <v>1243</v>
      </c>
      <c r="V45" s="70">
        <v>464.43</v>
      </c>
      <c r="W45" s="70">
        <v>464.42500000000001</v>
      </c>
      <c r="X45" s="22">
        <f t="shared" si="2"/>
        <v>4.9999999999954525E-3</v>
      </c>
      <c r="Y45" s="71">
        <v>6</v>
      </c>
      <c r="Z45" s="2"/>
      <c r="AA45" s="2"/>
      <c r="AB45" s="2"/>
      <c r="AC45" s="2"/>
      <c r="AD45" s="2"/>
      <c r="AE45" s="2"/>
      <c r="AF45" s="2"/>
      <c r="AG45" s="2"/>
      <c r="AH45" s="2"/>
    </row>
    <row r="46" spans="2:34" ht="15" customHeight="1" x14ac:dyDescent="0.2">
      <c r="B46" s="71" t="s">
        <v>151</v>
      </c>
      <c r="C46" s="226" t="str">
        <f>HYPERLINK("https://www.facebook.com/ZespriMY/videos/p.966617810209835/966617810209835/?type=2&amp;theater","24 Dec")</f>
        <v>24 Dec</v>
      </c>
      <c r="D46" s="69">
        <v>4813</v>
      </c>
      <c r="E46" s="69">
        <v>490496</v>
      </c>
      <c r="F46" s="95">
        <v>867462</v>
      </c>
      <c r="G46" s="27">
        <f>D46/F46</f>
        <v>5.5483698421371769E-3</v>
      </c>
      <c r="H46" s="69">
        <v>4707</v>
      </c>
      <c r="I46" s="27">
        <f t="shared" si="10"/>
        <v>5.4261742877497804E-3</v>
      </c>
      <c r="J46" s="69">
        <v>784</v>
      </c>
      <c r="K46" s="27">
        <f t="shared" si="11"/>
        <v>9.0378598716716121E-4</v>
      </c>
      <c r="L46" s="181">
        <v>0.76120671340556623</v>
      </c>
      <c r="M46" s="181">
        <v>0.35139154450817933</v>
      </c>
      <c r="N46" s="181">
        <v>0.2224346717654557</v>
      </c>
      <c r="O46" s="181">
        <v>0.15466326747397494</v>
      </c>
      <c r="P46" s="69"/>
      <c r="Q46" s="69"/>
      <c r="R46" s="69">
        <v>1</v>
      </c>
      <c r="S46" s="69">
        <v>104</v>
      </c>
      <c r="T46" s="69">
        <v>1</v>
      </c>
      <c r="U46" s="69">
        <v>1716</v>
      </c>
      <c r="V46" s="70">
        <v>464.43</v>
      </c>
      <c r="W46" s="70">
        <v>464.42500000000001</v>
      </c>
      <c r="X46" s="22">
        <f t="shared" si="2"/>
        <v>4.9999999999954525E-3</v>
      </c>
      <c r="Y46" s="71">
        <v>3</v>
      </c>
      <c r="Z46" s="2"/>
      <c r="AA46" s="2"/>
      <c r="AB46" s="2"/>
      <c r="AC46" s="2"/>
      <c r="AD46" s="2"/>
      <c r="AE46" s="2"/>
      <c r="AF46" s="2"/>
      <c r="AG46" s="2"/>
      <c r="AH46" s="2"/>
    </row>
    <row r="47" spans="2:34" ht="15" hidden="1" customHeight="1" x14ac:dyDescent="0.2">
      <c r="B47" s="71"/>
      <c r="C47" s="226"/>
      <c r="D47" s="69"/>
      <c r="E47" s="69"/>
      <c r="F47" s="95"/>
      <c r="G47" s="227"/>
      <c r="H47" s="69"/>
      <c r="I47" s="227"/>
      <c r="J47" s="69"/>
      <c r="K47" s="227"/>
      <c r="L47" s="224"/>
      <c r="M47" s="224"/>
      <c r="N47" s="224"/>
      <c r="O47" s="224"/>
      <c r="P47" s="69"/>
      <c r="Q47" s="69"/>
      <c r="R47" s="69"/>
      <c r="S47" s="69"/>
      <c r="T47" s="69"/>
      <c r="U47" s="69"/>
      <c r="V47" s="70"/>
      <c r="W47" s="70"/>
      <c r="X47" s="70"/>
      <c r="Y47" s="71"/>
      <c r="Z47" s="2"/>
      <c r="AA47" s="2"/>
      <c r="AB47" s="2"/>
      <c r="AC47" s="2"/>
      <c r="AD47" s="2"/>
      <c r="AE47" s="2"/>
      <c r="AF47" s="2"/>
      <c r="AG47" s="2"/>
      <c r="AH47" s="2"/>
    </row>
    <row r="48" spans="2:34" ht="15" hidden="1" customHeight="1" x14ac:dyDescent="0.2">
      <c r="B48" s="71"/>
      <c r="C48" s="226"/>
      <c r="D48" s="69"/>
      <c r="E48" s="69"/>
      <c r="F48" s="95"/>
      <c r="G48" s="227"/>
      <c r="H48" s="69"/>
      <c r="I48" s="227"/>
      <c r="J48" s="69"/>
      <c r="K48" s="227"/>
      <c r="L48" s="224"/>
      <c r="M48" s="224"/>
      <c r="N48" s="224"/>
      <c r="O48" s="224"/>
      <c r="P48" s="69"/>
      <c r="Q48" s="69"/>
      <c r="R48" s="69"/>
      <c r="S48" s="69"/>
      <c r="T48" s="69"/>
      <c r="U48" s="69"/>
      <c r="V48" s="70"/>
      <c r="W48" s="70"/>
      <c r="X48" s="70"/>
      <c r="Y48" s="71"/>
      <c r="Z48" s="2"/>
      <c r="AA48" s="2"/>
      <c r="AB48" s="2"/>
      <c r="AC48" s="2"/>
      <c r="AD48" s="2"/>
      <c r="AE48" s="2"/>
      <c r="AF48" s="2"/>
      <c r="AG48" s="2"/>
      <c r="AH48" s="2"/>
    </row>
    <row r="49" spans="2:34" ht="15" hidden="1" customHeight="1" x14ac:dyDescent="0.2">
      <c r="B49" s="71"/>
      <c r="C49" s="162"/>
      <c r="D49" s="69"/>
      <c r="E49" s="69"/>
      <c r="F49" s="69"/>
      <c r="G49" s="163"/>
      <c r="H49" s="69"/>
      <c r="I49" s="163"/>
      <c r="J49" s="69"/>
      <c r="K49" s="163"/>
      <c r="L49" s="163"/>
      <c r="M49" s="163"/>
      <c r="N49" s="163"/>
      <c r="O49" s="163"/>
      <c r="P49" s="69"/>
      <c r="Q49" s="69"/>
      <c r="R49" s="69"/>
      <c r="S49" s="69"/>
      <c r="T49" s="69"/>
      <c r="U49" s="69"/>
      <c r="V49" s="69"/>
      <c r="W49" s="70"/>
      <c r="X49" s="70"/>
      <c r="Y49" s="71"/>
      <c r="Z49" s="2"/>
      <c r="AA49" s="2"/>
      <c r="AB49" s="2"/>
      <c r="AC49" s="2"/>
      <c r="AD49" s="2"/>
      <c r="AE49" s="2"/>
      <c r="AF49" s="2"/>
      <c r="AG49" s="2"/>
      <c r="AH49" s="2"/>
    </row>
    <row r="50" spans="2:34" s="34" customFormat="1" ht="15" customHeight="1" x14ac:dyDescent="0.2">
      <c r="B50" s="351" t="s">
        <v>120</v>
      </c>
      <c r="C50" s="351"/>
      <c r="D50" s="16">
        <f>SUM(D22:D49)</f>
        <v>136463</v>
      </c>
      <c r="E50" s="16">
        <f>SUM(E22:E49)</f>
        <v>14864981</v>
      </c>
      <c r="F50" s="16">
        <f>SUM(F22:F49)</f>
        <v>23098015</v>
      </c>
      <c r="G50" s="98">
        <f>IFERROR(AVERAGE(G22:G49),0)</f>
        <v>6.0470636417627489E-3</v>
      </c>
      <c r="H50" s="16">
        <f>SUM(H22:H49)</f>
        <v>122984</v>
      </c>
      <c r="I50" s="165">
        <f>AVERAGEIF(I22:I49,"&lt;&gt;0")</f>
        <v>8.0217491415971523E-3</v>
      </c>
      <c r="J50" s="16">
        <f>SUM(J22:J49)</f>
        <v>41474</v>
      </c>
      <c r="K50" s="164">
        <f>AVERAGEIF(K22:K49,"&lt;&gt;0")</f>
        <v>2.9095501022573956E-3</v>
      </c>
      <c r="L50" s="30">
        <f>IFERROR(AVERAGE(L22:L49),0)</f>
        <v>5.6422444879999929E-2</v>
      </c>
      <c r="M50" s="30">
        <f t="shared" ref="M50:N50" si="12">IFERROR(AVERAGE(M22:M49),0)</f>
        <v>2.6324126848796474E-2</v>
      </c>
      <c r="N50" s="99">
        <f t="shared" si="12"/>
        <v>1.6873959472018512E-2</v>
      </c>
      <c r="O50" s="99">
        <f>IFERROR(AVERAGE(O22:O49),0)</f>
        <v>1.1912013571376784E-2</v>
      </c>
      <c r="P50" s="16">
        <f t="shared" ref="P50:U50" si="13">SUM(P22:P49)</f>
        <v>689</v>
      </c>
      <c r="Q50" s="16">
        <f t="shared" si="13"/>
        <v>2637</v>
      </c>
      <c r="R50" s="16">
        <f t="shared" si="13"/>
        <v>32</v>
      </c>
      <c r="S50" s="16">
        <f t="shared" si="13"/>
        <v>3440</v>
      </c>
      <c r="T50" s="16">
        <f t="shared" si="13"/>
        <v>90</v>
      </c>
      <c r="U50" s="16">
        <f t="shared" si="13"/>
        <v>58299</v>
      </c>
      <c r="V50" s="31">
        <f>SUM(V22:V49)</f>
        <v>14912.675000000001</v>
      </c>
      <c r="W50" s="24">
        <f>SUM(W22:W49)</f>
        <v>14912.312499999998</v>
      </c>
      <c r="X50" s="31">
        <f>V50-W50</f>
        <v>0.36250000000291038</v>
      </c>
      <c r="Y50" s="78">
        <f>AVERAGE(Y22:Y49)</f>
        <v>4.72</v>
      </c>
      <c r="Z50" s="1"/>
      <c r="AA50" s="1"/>
      <c r="AB50" s="1"/>
      <c r="AC50" s="1"/>
      <c r="AD50" s="1"/>
      <c r="AE50" s="1"/>
      <c r="AF50" s="1"/>
      <c r="AG50" s="1"/>
      <c r="AH50" s="1"/>
    </row>
    <row r="51" spans="2:34" ht="15.75" customHeight="1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6"/>
      <c r="Z51" s="2"/>
      <c r="AA51" s="2"/>
      <c r="AB51" s="2"/>
      <c r="AC51" s="2"/>
      <c r="AD51" s="2"/>
      <c r="AE51" s="2"/>
      <c r="AF51" s="2"/>
      <c r="AG51" s="2"/>
      <c r="AH51" s="2"/>
    </row>
    <row r="52" spans="2:34" ht="12.75" x14ac:dyDescent="0.2">
      <c r="B52" s="2"/>
      <c r="C52" s="2"/>
      <c r="D52" s="2"/>
      <c r="E52" s="1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6"/>
      <c r="Z52" s="2"/>
      <c r="AA52" s="2"/>
      <c r="AB52" s="2"/>
      <c r="AC52" s="2"/>
      <c r="AD52" s="2"/>
      <c r="AE52" s="2"/>
      <c r="AF52" s="2"/>
      <c r="AG52" s="2"/>
      <c r="AH52" s="2"/>
    </row>
    <row r="53" spans="2:34" ht="12.75" x14ac:dyDescent="0.2">
      <c r="B53" s="2"/>
      <c r="C53" s="2"/>
      <c r="D53" s="1"/>
      <c r="E53" s="189"/>
      <c r="F53" s="189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6"/>
      <c r="Z53" s="2"/>
      <c r="AA53" s="2"/>
      <c r="AB53" s="2"/>
      <c r="AC53" s="2"/>
      <c r="AD53" s="2"/>
      <c r="AE53" s="2"/>
      <c r="AF53" s="2"/>
      <c r="AG53" s="2"/>
      <c r="AH53" s="2"/>
    </row>
    <row r="54" spans="2:34" ht="12.75" x14ac:dyDescent="0.2">
      <c r="B54" s="2"/>
      <c r="C54" s="2"/>
      <c r="D54" s="1"/>
      <c r="E54" s="189"/>
      <c r="F54" s="189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6"/>
      <c r="Z54" s="2"/>
      <c r="AA54" s="2"/>
      <c r="AB54" s="2"/>
      <c r="AC54" s="2"/>
      <c r="AD54" s="2"/>
      <c r="AE54" s="2"/>
      <c r="AF54" s="2"/>
      <c r="AG54" s="2"/>
      <c r="AH54" s="2"/>
    </row>
    <row r="55" spans="2:34" ht="12.75" x14ac:dyDescent="0.2">
      <c r="B55" s="2"/>
      <c r="C55" s="2"/>
      <c r="D55" s="1"/>
      <c r="E55" s="189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6"/>
      <c r="Z55" s="2"/>
      <c r="AA55" s="2"/>
      <c r="AB55" s="2"/>
      <c r="AC55" s="2"/>
      <c r="AD55" s="2"/>
      <c r="AE55" s="2"/>
      <c r="AF55" s="2"/>
      <c r="AG55" s="2"/>
      <c r="AH55" s="2"/>
    </row>
    <row r="56" spans="2:34" ht="12.75" x14ac:dyDescent="0.2">
      <c r="B56" s="2"/>
      <c r="C56" s="2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6"/>
      <c r="Z56" s="2"/>
      <c r="AA56" s="2"/>
      <c r="AB56" s="2"/>
      <c r="AC56" s="2"/>
      <c r="AD56" s="2"/>
      <c r="AE56" s="2"/>
      <c r="AF56" s="2"/>
      <c r="AG56" s="2"/>
      <c r="AH56" s="2"/>
    </row>
    <row r="57" spans="2:34" ht="12.75" x14ac:dyDescent="0.2">
      <c r="B57" s="2"/>
      <c r="C57" s="2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6"/>
      <c r="Z57" s="2"/>
      <c r="AA57" s="2"/>
      <c r="AB57" s="2"/>
      <c r="AC57" s="2"/>
      <c r="AD57" s="2"/>
      <c r="AE57" s="2"/>
      <c r="AF57" s="2"/>
      <c r="AG57" s="2"/>
      <c r="AH57" s="2"/>
    </row>
    <row r="58" spans="2:34" ht="12.75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6"/>
      <c r="Z58" s="2"/>
      <c r="AA58" s="2"/>
      <c r="AB58" s="2"/>
      <c r="AC58" s="2"/>
      <c r="AD58" s="2"/>
      <c r="AE58" s="2"/>
      <c r="AF58" s="2"/>
      <c r="AG58" s="2"/>
      <c r="AH58" s="2"/>
    </row>
    <row r="59" spans="2:34" ht="12.75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6"/>
      <c r="Z59" s="2"/>
      <c r="AA59" s="2"/>
      <c r="AB59" s="2"/>
      <c r="AC59" s="2"/>
      <c r="AD59" s="2"/>
      <c r="AE59" s="2"/>
      <c r="AF59" s="2"/>
      <c r="AG59" s="2"/>
      <c r="AH59" s="2"/>
    </row>
    <row r="60" spans="2:34" ht="12.75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6"/>
      <c r="Z60" s="2"/>
      <c r="AA60" s="2"/>
      <c r="AB60" s="2"/>
      <c r="AC60" s="2"/>
      <c r="AD60" s="2"/>
      <c r="AE60" s="2"/>
      <c r="AF60" s="2"/>
      <c r="AG60" s="2"/>
      <c r="AH60" s="2"/>
    </row>
    <row r="61" spans="2:34" ht="12.75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6"/>
      <c r="Z61" s="2"/>
      <c r="AA61" s="2"/>
      <c r="AB61" s="2"/>
      <c r="AC61" s="2"/>
      <c r="AD61" s="2"/>
      <c r="AE61" s="2"/>
      <c r="AF61" s="2"/>
      <c r="AG61" s="2"/>
      <c r="AH61" s="2"/>
    </row>
    <row r="62" spans="2:34" ht="12.75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6"/>
      <c r="Z62" s="2"/>
      <c r="AA62" s="2"/>
      <c r="AB62" s="2"/>
      <c r="AC62" s="2"/>
      <c r="AD62" s="2"/>
      <c r="AE62" s="2"/>
      <c r="AF62" s="2"/>
      <c r="AG62" s="2"/>
      <c r="AH62" s="2"/>
    </row>
    <row r="63" spans="2:34" ht="12.75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6"/>
      <c r="Z63" s="2"/>
      <c r="AA63" s="2"/>
      <c r="AB63" s="2"/>
      <c r="AC63" s="2"/>
      <c r="AD63" s="2"/>
      <c r="AE63" s="2"/>
      <c r="AF63" s="2"/>
      <c r="AG63" s="2"/>
      <c r="AH63" s="2"/>
    </row>
    <row r="64" spans="2:34" ht="12.75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6"/>
      <c r="Z64" s="2"/>
      <c r="AA64" s="2"/>
      <c r="AB64" s="2"/>
      <c r="AC64" s="2"/>
      <c r="AD64" s="2"/>
      <c r="AE64" s="2"/>
      <c r="AF64" s="2"/>
      <c r="AG64" s="2"/>
      <c r="AH64" s="2"/>
    </row>
    <row r="65" spans="2:34" ht="12.75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6"/>
      <c r="Z65" s="2"/>
      <c r="AA65" s="2"/>
      <c r="AB65" s="2"/>
      <c r="AC65" s="2"/>
      <c r="AD65" s="2"/>
      <c r="AE65" s="2"/>
      <c r="AF65" s="2"/>
      <c r="AG65" s="2"/>
      <c r="AH65" s="2"/>
    </row>
    <row r="66" spans="2:34" ht="12.75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6"/>
      <c r="Z66" s="2"/>
      <c r="AA66" s="2"/>
      <c r="AB66" s="2"/>
      <c r="AC66" s="2"/>
      <c r="AD66" s="2"/>
      <c r="AE66" s="2"/>
      <c r="AF66" s="2"/>
      <c r="AG66" s="2"/>
      <c r="AH66" s="2"/>
    </row>
    <row r="67" spans="2:34" ht="12.75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6"/>
      <c r="Z67" s="2"/>
      <c r="AA67" s="2"/>
      <c r="AB67" s="2"/>
      <c r="AC67" s="2"/>
      <c r="AD67" s="2"/>
      <c r="AE67" s="2"/>
      <c r="AF67" s="2"/>
      <c r="AG67" s="2"/>
      <c r="AH67" s="2"/>
    </row>
    <row r="68" spans="2:34" ht="12.75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6"/>
      <c r="Z68" s="2"/>
      <c r="AA68" s="2"/>
      <c r="AB68" s="2"/>
      <c r="AC68" s="2"/>
      <c r="AD68" s="2"/>
      <c r="AE68" s="2"/>
      <c r="AF68" s="2"/>
      <c r="AG68" s="2"/>
      <c r="AH68" s="2"/>
    </row>
    <row r="69" spans="2:34" ht="12.75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6"/>
      <c r="Z69" s="2"/>
      <c r="AA69" s="2"/>
      <c r="AB69" s="2"/>
      <c r="AC69" s="2"/>
      <c r="AD69" s="2"/>
      <c r="AE69" s="2"/>
      <c r="AF69" s="2"/>
      <c r="AG69" s="2"/>
      <c r="AH69" s="2"/>
    </row>
    <row r="70" spans="2:34" ht="12.75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6"/>
      <c r="Z70" s="2"/>
      <c r="AA70" s="2"/>
      <c r="AB70" s="2"/>
      <c r="AC70" s="2"/>
      <c r="AD70" s="2"/>
      <c r="AE70" s="2"/>
      <c r="AF70" s="2"/>
      <c r="AG70" s="2"/>
      <c r="AH70" s="2"/>
    </row>
    <row r="71" spans="2:34" ht="12.75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6"/>
      <c r="Z71" s="2"/>
      <c r="AA71" s="2"/>
      <c r="AB71" s="2"/>
      <c r="AC71" s="2"/>
      <c r="AD71" s="2"/>
      <c r="AE71" s="2"/>
      <c r="AF71" s="2"/>
      <c r="AG71" s="2"/>
      <c r="AH71" s="2"/>
    </row>
    <row r="72" spans="2:34" ht="12.75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6"/>
      <c r="Z72" s="2"/>
      <c r="AA72" s="2"/>
      <c r="AB72" s="2"/>
      <c r="AC72" s="2"/>
      <c r="AD72" s="2"/>
      <c r="AE72" s="2"/>
      <c r="AF72" s="2"/>
      <c r="AG72" s="2"/>
      <c r="AH72" s="2"/>
    </row>
    <row r="73" spans="2:34" ht="12.75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6"/>
      <c r="Z73" s="2"/>
      <c r="AA73" s="2"/>
      <c r="AB73" s="2"/>
      <c r="AC73" s="2"/>
      <c r="AD73" s="2"/>
      <c r="AE73" s="2"/>
      <c r="AF73" s="2"/>
      <c r="AG73" s="2"/>
      <c r="AH73" s="2"/>
    </row>
    <row r="74" spans="2:34" ht="12.7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6"/>
      <c r="Z74" s="2"/>
      <c r="AA74" s="2"/>
      <c r="AB74" s="2"/>
      <c r="AC74" s="2"/>
      <c r="AD74" s="2"/>
      <c r="AE74" s="2"/>
      <c r="AF74" s="2"/>
      <c r="AG74" s="2"/>
      <c r="AH74" s="2"/>
    </row>
    <row r="75" spans="2:34" ht="12.75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6"/>
      <c r="Z75" s="2"/>
      <c r="AA75" s="2"/>
      <c r="AB75" s="2"/>
      <c r="AC75" s="2"/>
      <c r="AD75" s="2"/>
      <c r="AE75" s="2"/>
      <c r="AF75" s="2"/>
      <c r="AG75" s="2"/>
      <c r="AH75" s="2"/>
    </row>
    <row r="76" spans="2:34" ht="12.75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6"/>
      <c r="Z76" s="2"/>
      <c r="AA76" s="2"/>
      <c r="AB76" s="2"/>
      <c r="AC76" s="2"/>
      <c r="AD76" s="2"/>
      <c r="AE76" s="2"/>
      <c r="AF76" s="2"/>
      <c r="AG76" s="2"/>
      <c r="AH76" s="2"/>
    </row>
    <row r="77" spans="2:34" ht="12.75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6"/>
      <c r="Z77" s="2"/>
      <c r="AA77" s="2"/>
      <c r="AB77" s="2"/>
      <c r="AC77" s="2"/>
      <c r="AD77" s="2"/>
      <c r="AE77" s="2"/>
      <c r="AF77" s="2"/>
      <c r="AG77" s="2"/>
      <c r="AH77" s="2"/>
    </row>
    <row r="78" spans="2:34" ht="12.75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6"/>
      <c r="Z78" s="2"/>
      <c r="AA78" s="2"/>
      <c r="AB78" s="2"/>
      <c r="AC78" s="2"/>
      <c r="AD78" s="2"/>
      <c r="AE78" s="2"/>
      <c r="AF78" s="2"/>
      <c r="AG78" s="2"/>
      <c r="AH78" s="2"/>
    </row>
    <row r="79" spans="2:34" ht="12.75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6"/>
      <c r="Z79" s="2"/>
      <c r="AA79" s="2"/>
      <c r="AB79" s="2"/>
      <c r="AC79" s="2"/>
      <c r="AD79" s="2"/>
      <c r="AE79" s="2"/>
      <c r="AF79" s="2"/>
      <c r="AG79" s="2"/>
      <c r="AH79" s="2"/>
    </row>
    <row r="80" spans="2:34" ht="12.75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6"/>
      <c r="Z80" s="2"/>
      <c r="AA80" s="2"/>
      <c r="AB80" s="2"/>
      <c r="AC80" s="2"/>
      <c r="AD80" s="2"/>
      <c r="AE80" s="2"/>
      <c r="AF80" s="2"/>
      <c r="AG80" s="2"/>
      <c r="AH80" s="2"/>
    </row>
    <row r="81" spans="2:34" ht="12.75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6"/>
      <c r="Z81" s="2"/>
      <c r="AA81" s="2"/>
      <c r="AB81" s="2"/>
      <c r="AC81" s="2"/>
      <c r="AD81" s="2"/>
      <c r="AE81" s="2"/>
      <c r="AF81" s="2"/>
      <c r="AG81" s="2"/>
      <c r="AH81" s="2"/>
    </row>
    <row r="82" spans="2:34" ht="12.75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6"/>
      <c r="Z82" s="2"/>
      <c r="AA82" s="2"/>
      <c r="AB82" s="2"/>
      <c r="AC82" s="2"/>
      <c r="AD82" s="2"/>
      <c r="AE82" s="2"/>
      <c r="AF82" s="2"/>
      <c r="AG82" s="2"/>
      <c r="AH82" s="2"/>
    </row>
    <row r="83" spans="2:34" ht="12.75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6"/>
      <c r="Z83" s="2"/>
      <c r="AA83" s="2"/>
      <c r="AB83" s="2"/>
      <c r="AC83" s="2"/>
      <c r="AD83" s="2"/>
      <c r="AE83" s="2"/>
      <c r="AF83" s="2"/>
      <c r="AG83" s="2"/>
      <c r="AH83" s="2"/>
    </row>
    <row r="84" spans="2:34" ht="12.75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6"/>
      <c r="Z84" s="2"/>
      <c r="AA84" s="2"/>
      <c r="AB84" s="2"/>
      <c r="AC84" s="2"/>
      <c r="AD84" s="2"/>
      <c r="AE84" s="2"/>
      <c r="AF84" s="2"/>
      <c r="AG84" s="2"/>
      <c r="AH84" s="2"/>
    </row>
    <row r="85" spans="2:34" ht="12.75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6"/>
      <c r="Z85" s="2"/>
      <c r="AA85" s="2"/>
      <c r="AB85" s="2"/>
      <c r="AC85" s="2"/>
      <c r="AD85" s="2"/>
      <c r="AE85" s="2"/>
      <c r="AF85" s="2"/>
      <c r="AG85" s="2"/>
      <c r="AH85" s="2"/>
    </row>
    <row r="86" spans="2:34" ht="12.75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6"/>
      <c r="Z86" s="2"/>
      <c r="AA86" s="2"/>
      <c r="AB86" s="2"/>
      <c r="AC86" s="2"/>
      <c r="AD86" s="2"/>
      <c r="AE86" s="2"/>
      <c r="AF86" s="2"/>
      <c r="AG86" s="2"/>
      <c r="AH86" s="2"/>
    </row>
    <row r="87" spans="2:34" ht="12.75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6"/>
      <c r="Z87" s="2"/>
      <c r="AA87" s="2"/>
      <c r="AB87" s="2"/>
      <c r="AC87" s="2"/>
      <c r="AD87" s="2"/>
      <c r="AE87" s="2"/>
      <c r="AF87" s="2"/>
      <c r="AG87" s="2"/>
      <c r="AH87" s="2"/>
    </row>
    <row r="88" spans="2:34" ht="12.75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6"/>
      <c r="Z88" s="2"/>
      <c r="AA88" s="2"/>
      <c r="AB88" s="2"/>
      <c r="AC88" s="2"/>
      <c r="AD88" s="2"/>
      <c r="AE88" s="2"/>
      <c r="AF88" s="2"/>
      <c r="AG88" s="2"/>
      <c r="AH88" s="2"/>
    </row>
    <row r="89" spans="2:34" ht="12.75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6"/>
      <c r="Z89" s="2"/>
      <c r="AA89" s="2"/>
      <c r="AB89" s="2"/>
      <c r="AC89" s="2"/>
      <c r="AD89" s="2"/>
      <c r="AE89" s="2"/>
      <c r="AF89" s="2"/>
      <c r="AG89" s="2"/>
      <c r="AH89" s="2"/>
    </row>
    <row r="90" spans="2:34" ht="12.75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6"/>
      <c r="Z90" s="2"/>
      <c r="AA90" s="2"/>
      <c r="AB90" s="2"/>
      <c r="AC90" s="2"/>
      <c r="AD90" s="2"/>
      <c r="AE90" s="2"/>
      <c r="AF90" s="2"/>
      <c r="AG90" s="2"/>
      <c r="AH90" s="2"/>
    </row>
    <row r="91" spans="2:34" ht="12.75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6"/>
      <c r="Z91" s="2"/>
      <c r="AA91" s="2"/>
      <c r="AB91" s="2"/>
      <c r="AC91" s="2"/>
      <c r="AD91" s="2"/>
      <c r="AE91" s="2"/>
      <c r="AF91" s="2"/>
      <c r="AG91" s="2"/>
      <c r="AH91" s="2"/>
    </row>
    <row r="92" spans="2:34" ht="12.75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6"/>
      <c r="Z92" s="2"/>
      <c r="AA92" s="2"/>
      <c r="AB92" s="2"/>
      <c r="AC92" s="2"/>
      <c r="AD92" s="2"/>
      <c r="AE92" s="2"/>
      <c r="AF92" s="2"/>
      <c r="AG92" s="2"/>
      <c r="AH92" s="2"/>
    </row>
    <row r="93" spans="2:34" ht="12.75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6"/>
      <c r="Z93" s="2"/>
      <c r="AA93" s="2"/>
      <c r="AB93" s="2"/>
      <c r="AC93" s="2"/>
      <c r="AD93" s="2"/>
      <c r="AE93" s="2"/>
      <c r="AF93" s="2"/>
      <c r="AG93" s="2"/>
      <c r="AH93" s="2"/>
    </row>
    <row r="94" spans="2:34" ht="12.75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6"/>
      <c r="Z94" s="2"/>
      <c r="AA94" s="2"/>
      <c r="AB94" s="2"/>
      <c r="AC94" s="2"/>
      <c r="AD94" s="2"/>
      <c r="AE94" s="2"/>
      <c r="AF94" s="2"/>
      <c r="AG94" s="2"/>
      <c r="AH94" s="2"/>
    </row>
    <row r="95" spans="2:34" ht="12.75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6"/>
      <c r="Z95" s="2"/>
      <c r="AA95" s="2"/>
      <c r="AB95" s="2"/>
      <c r="AC95" s="2"/>
      <c r="AD95" s="2"/>
      <c r="AE95" s="2"/>
      <c r="AF95" s="2"/>
      <c r="AG95" s="2"/>
      <c r="AH95" s="2"/>
    </row>
    <row r="96" spans="2:34" ht="12.75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6"/>
      <c r="Z96" s="2"/>
      <c r="AA96" s="2"/>
      <c r="AB96" s="2"/>
      <c r="AC96" s="2"/>
      <c r="AD96" s="2"/>
      <c r="AE96" s="2"/>
      <c r="AF96" s="2"/>
      <c r="AG96" s="2"/>
      <c r="AH96" s="2"/>
    </row>
    <row r="97" spans="2:34" ht="12.75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6"/>
      <c r="Z97" s="2"/>
      <c r="AA97" s="2"/>
      <c r="AB97" s="2"/>
      <c r="AC97" s="2"/>
      <c r="AD97" s="2"/>
      <c r="AE97" s="2"/>
      <c r="AF97" s="2"/>
      <c r="AG97" s="2"/>
      <c r="AH97" s="2"/>
    </row>
    <row r="98" spans="2:34" ht="12.75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6"/>
      <c r="Z98" s="2"/>
      <c r="AA98" s="2"/>
      <c r="AB98" s="2"/>
      <c r="AC98" s="2"/>
      <c r="AD98" s="2"/>
      <c r="AE98" s="2"/>
      <c r="AF98" s="2"/>
      <c r="AG98" s="2"/>
      <c r="AH98" s="2"/>
    </row>
    <row r="99" spans="2:34" ht="12.75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6"/>
      <c r="Z99" s="2"/>
      <c r="AA99" s="2"/>
      <c r="AB99" s="2"/>
      <c r="AC99" s="2"/>
      <c r="AD99" s="2"/>
      <c r="AE99" s="2"/>
      <c r="AF99" s="2"/>
      <c r="AG99" s="2"/>
      <c r="AH99" s="2"/>
    </row>
    <row r="100" spans="2:34" ht="12.75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6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2:34" ht="12.75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6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2:34" ht="12.75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6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2:34" ht="12.75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6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2:34" ht="12.75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6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2:34" ht="12.75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6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2:34" ht="12.75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6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2:34" ht="12.75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6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2:34" ht="12.75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6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2:34" ht="12.75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6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2:34" ht="12.75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6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2:34" ht="12.75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6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2:34" ht="12.75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6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2:34" ht="12.75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6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2:34" ht="12.75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6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2:34" ht="12.75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6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2:34" ht="12.75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6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2:34" ht="12.75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6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2:34" ht="12.75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6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2:34" ht="12.75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6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2:34" ht="12.75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6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2:34" ht="12.75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6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2:34" ht="12.75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6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2:34" ht="12.75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6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2:34" ht="12.75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6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2:34" ht="12.75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6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2:34" ht="12.75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6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2:34" ht="12.75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6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2:34" ht="12.75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6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2:34" ht="12.75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6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2:34" ht="12.75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6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2:34" ht="12.75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6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2:34" ht="12.75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6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2:34" ht="12.75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6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2:34" ht="12.75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6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2:34" ht="12.75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6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2:34" ht="12.75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6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2:34" ht="12.75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6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2:34" ht="12.75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6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2:34" ht="12.75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6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2:34" ht="12.75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6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2:34" ht="12.75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6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2:34" ht="12.75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6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2:34" ht="12.75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6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2:34" ht="12.75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6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2:34" ht="12.75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6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2:34" ht="12.75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6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2:34" ht="12.75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6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2:34" ht="12.75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6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2:34" ht="12.75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6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2:34" ht="12.75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6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2:34" ht="12.75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6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2:34" ht="12.75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6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2:34" ht="12.75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6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2:34" ht="12.75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6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2:34" ht="12.75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6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2:34" ht="12.75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6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2:34" ht="12.75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6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2:34" ht="12.75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6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2:34" ht="12.75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6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2:34" ht="12.75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6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2:34" ht="12.75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6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2:34" ht="12.75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6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2:34" ht="12.75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6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2:34" ht="12.75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6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2:34" ht="12.75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6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2:34" ht="12.75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6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2:34" ht="12.75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6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2:34" ht="12.75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6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2:34" ht="12.75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6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2:34" ht="12.75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6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2:34" ht="12.75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6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2:34" ht="12.75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6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2:34" ht="12.75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6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2:34" ht="12.75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6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2:34" ht="12.75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6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2:34" ht="12.75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6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2:34" ht="12.75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6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2:34" ht="12.75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6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2:34" ht="12.75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6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2:34" ht="12.75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6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2:34" ht="12.75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6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2:34" ht="12.75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6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2:34" ht="12.75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6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2:34" ht="12.75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6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2:34" ht="12.75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6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2:34" ht="12.75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6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2:34" ht="12.75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6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2:34" ht="12.75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6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2:34" ht="12.75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6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2:34" ht="12.75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6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2:34" ht="12.75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6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2:34" ht="12.75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6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2:34" ht="12.75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6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2:34" ht="12.75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6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2:34" ht="12.75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6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2:34" ht="12.75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6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2:34" ht="12.75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6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2:34" ht="12.75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6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2:34" ht="12.75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6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2:34" ht="12.75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6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2:34" ht="12.75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6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2:34" ht="12.75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6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2:34" ht="12.75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6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2:34" ht="12.75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6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2:34" ht="12.75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6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2:34" ht="12.75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6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2:34" ht="12.75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6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2:34" ht="12.75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6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2:34" ht="12.75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6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2:34" ht="12.75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6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2:34" ht="12.75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6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2:34" ht="12.75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6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2:34" ht="12.75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6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2:34" ht="12.75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6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2:34" ht="12.75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6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2:34" ht="12.75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6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2:34" ht="12.75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6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2:34" ht="12.75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6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2:34" ht="12.75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6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2:34" ht="12.75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6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2:34" ht="12.75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6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2:34" ht="12.75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6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2:34" ht="12.75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6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2:34" ht="12.75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6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2:34" ht="12.75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6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2:34" ht="12.75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6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2:34" ht="12.75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6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2:34" ht="12.75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6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2:34" ht="12.75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6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2:34" ht="12.75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6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2:34" ht="12.75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6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2:34" ht="12.75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6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2:34" ht="12.75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6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2:34" ht="12.75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6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2:34" ht="12.75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6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2:34" ht="12.75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6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2:34" ht="12.75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6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2:34" ht="12.75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6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2:34" ht="12.75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6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2:34" ht="12.75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6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2:34" ht="12.75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6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2:34" ht="12.75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6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2:34" ht="12.75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6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2:34" ht="12.75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6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2:34" ht="12.75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6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2:34" ht="12.75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6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2:34" ht="12.75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6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2:34" ht="12.75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6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2:34" ht="12.75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6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2:34" ht="12.75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6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2:34" ht="12.75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6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2:34" ht="12.75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6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2:34" ht="12.75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6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2:34" ht="12.75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6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2:34" ht="12.75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6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2:34" ht="12.75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6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2:34" ht="12.75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6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2:34" ht="12.75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6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2:34" ht="12.75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6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2:34" ht="12.75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6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2:34" ht="12.75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6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2:34" ht="12.75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6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2:34" ht="12.75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6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2:34" ht="12.75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6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2:34" ht="12.75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6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2:34" ht="12.75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6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2:34" ht="12.75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6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2:34" ht="12.75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6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2:34" ht="12.75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6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2:34" ht="12.75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6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2:34" ht="12.75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6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2:34" ht="12.75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6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2:34" ht="12.75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6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2:34" ht="12.75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6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2:34" ht="12.75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6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2:34" ht="12.75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6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2:34" ht="12.75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6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2:34" ht="12.75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6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2:34" ht="12.75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6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2:34" ht="12.75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6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2:34" ht="12.75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6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2:34" ht="12.75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6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2:34" ht="12.75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6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2:34" ht="12.75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6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2:34" ht="12.75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6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2:34" ht="12.75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6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2:34" ht="12.75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6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2:34" ht="12.75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6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2:34" ht="12.75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6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2:34" ht="12.75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6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2:34" ht="12.75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6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2:34" ht="12.75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6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2:34" ht="12.75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6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2:34" ht="12.75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6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2:34" ht="12.75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6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2:34" ht="12.75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6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2:34" ht="12.75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6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2:34" ht="12.75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6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2:34" ht="12.75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6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2:34" ht="12.75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6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2:34" ht="12.75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6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2:34" ht="12.75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6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2:34" ht="12.75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6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2:34" ht="12.75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6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2:34" ht="12.75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6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2:34" ht="12.75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6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2:34" ht="12.75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6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2:34" ht="12.75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6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2:34" ht="12.75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6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2:34" ht="12.75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6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2:34" ht="12.75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6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2:34" ht="12.75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6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2:34" ht="12.75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6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2:34" ht="12.75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6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2:34" ht="12.75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6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2:34" ht="12.75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6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2:34" ht="12.75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6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2:34" ht="12.75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6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2:34" ht="12.75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6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2:34" ht="12.75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6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2:34" ht="12.75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6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2:34" ht="12.75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6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2:34" ht="12.75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6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2:34" ht="12.75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6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2:34" ht="12.75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6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2:34" ht="12.75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6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2:34" ht="12.75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6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2:34" ht="12.75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6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2:34" ht="12.75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6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2:34" ht="12.75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6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2:34" ht="12.75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6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2:34" ht="12.75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6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2:34" ht="12.75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6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2:34" ht="12.75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6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2:34" ht="12.75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6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2:34" ht="12.75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6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2:34" ht="12.75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6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2:34" ht="12.75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6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2:34" ht="12.75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6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2:34" ht="12.75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6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2:34" ht="12.75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6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2:34" ht="12.75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6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2:34" ht="12.75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6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2:34" ht="12.75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6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2:34" ht="12.75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6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2:34" ht="12.75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6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2:34" ht="12.75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6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2:34" ht="12.75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6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2:34" ht="12.75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6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2:34" ht="12.75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6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2:34" ht="12.75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6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2:34" ht="12.75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6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2:34" ht="12.75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6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2:34" ht="12.75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6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2:34" ht="12.75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6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2:34" ht="12.75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6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2:34" ht="12.75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6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2:34" ht="12.75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6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2:34" ht="12.75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6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2:34" ht="12.75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6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2:34" ht="12.75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6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2:34" ht="12.75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6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2:34" ht="12.75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6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2:34" ht="12.75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6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2:34" ht="12.75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6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2:34" ht="12.75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6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2:34" ht="12.75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6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2:34" ht="12.75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6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2:34" ht="12.75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6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2:34" ht="12.75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6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2:34" ht="12.75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6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2:34" ht="12.75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6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2:34" ht="12.75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6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2:34" ht="12.75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6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2:34" ht="12.75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6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2:34" ht="12.75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6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2:34" ht="12.75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6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2:34" ht="12.75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6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2:34" ht="12.75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6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2:34" ht="12.75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6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2:34" ht="12.75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6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2:34" ht="12.75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6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2:34" ht="12.75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6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2:34" ht="12.75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6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2:34" ht="12.75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6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2:34" ht="12.75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6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2:34" ht="12.75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6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2:34" ht="12.75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6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2:34" ht="12.75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6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2:34" ht="12.75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6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2:34" ht="12.75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6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2:34" ht="12.75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6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2:34" ht="12.75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6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2:34" ht="12.75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6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2:34" ht="12.75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6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2:34" ht="12.75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6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2:34" ht="12.75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6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2:34" ht="12.75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6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2:34" ht="12.75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6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2:34" ht="12.75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6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2:34" ht="12.75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6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2:34" ht="12.75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6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2:34" ht="12.75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6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2:34" ht="12.75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6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2:34" ht="12.75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6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2:34" ht="12.75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6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2:34" ht="12.75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6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2:34" ht="12.75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6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2:34" ht="12.75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6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2:34" ht="12.75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6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2:34" ht="12.75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6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2:34" ht="12.75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6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2:34" ht="12.75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6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2:34" ht="12.75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6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2:34" ht="12.75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6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2:34" ht="12.75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6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2:34" ht="12.75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6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2:34" ht="12.75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6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2:34" ht="12.75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6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2:34" ht="12.75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6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2:34" ht="12.75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6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2:34" ht="12.75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6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2:34" ht="12.75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6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2:34" ht="12.75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6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2:34" ht="12.75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6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2:34" ht="12.75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6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2:34" ht="12.75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6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2:34" ht="12.75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6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2:34" ht="12.75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6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2:34" ht="12.75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6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2:34" ht="12.75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6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2:34" ht="12.75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6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2:34" ht="12.75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6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2:34" ht="12.75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6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2:34" ht="12.75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6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2:34" ht="12.75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6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2:34" ht="12.75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6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2:34" ht="12.75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6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2:34" ht="12.75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6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2:34" ht="12.75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6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2:34" ht="12.75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6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2:34" ht="12.75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6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2:34" ht="12.75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6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2:34" ht="12.75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6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2:34" ht="12.75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6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2:34" ht="12.75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6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2:34" ht="12.75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6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2:34" ht="12.75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6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2:34" ht="12.75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6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2:34" ht="12.75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6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2:34" ht="12.75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6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2:34" ht="12.75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6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2:34" ht="12.75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6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2:34" ht="12.75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6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2:34" ht="12.75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6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2:34" ht="12.75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6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2:34" ht="12.75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6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2:34" ht="12.75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6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2:34" ht="12.75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6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2:34" ht="12.75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6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2:34" ht="12.75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6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2:34" ht="12.75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6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2:34" ht="12.75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6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2:34" ht="12.75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6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2:34" ht="12.75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6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2:34" ht="12.75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6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2:34" ht="12.75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6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2:34" ht="12.75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6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2:34" ht="12.75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6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2:34" ht="12.75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6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2:34" ht="12.75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6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2:34" ht="12.75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6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2:34" ht="12.75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6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2:34" ht="12.75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6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2:34" ht="12.75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6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2:34" ht="12.75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6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2:34" ht="12.75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6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2:34" ht="12.75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6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2:34" ht="12.75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6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2:34" ht="12.75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6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2:34" ht="12.75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6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2:34" ht="12.75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6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2:34" ht="12.75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6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2:34" ht="12.75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6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2:34" ht="12.75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6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2:34" ht="12.75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6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2:34" ht="12.75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6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2:34" ht="12.75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6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2:34" ht="12.75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6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2:34" ht="12.75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6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2:34" ht="12.75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6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2:34" ht="12.75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6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2:34" ht="12.75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6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2:34" ht="12.75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6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2:34" ht="12.75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6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2:34" ht="12.75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6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2:34" ht="12.75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6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2:34" ht="12.75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6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2:34" ht="12.75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6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2:34" ht="12.75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6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2:34" ht="12.75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6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2:34" ht="12.75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6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2:34" ht="12.75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6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2:34" ht="12.75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6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2:34" ht="12.75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6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2:34" ht="12.75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6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2:34" ht="12.75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6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2:34" ht="12.75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6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2:34" ht="12.75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6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2:34" ht="12.75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6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2:34" ht="12.75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6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2:34" ht="12.75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6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2:34" ht="12.75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6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2:34" ht="12.75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6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2:34" ht="12.75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6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2:34" ht="12.75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6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2:34" ht="12.75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6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2:34" ht="12.75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6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2:34" ht="12.75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6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2:34" ht="12.75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6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2:34" ht="12.75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6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2:34" ht="12.75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6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2:34" ht="12.75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6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2:34" ht="12.75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6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2:34" ht="12.75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6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2:34" ht="12.75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6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2:34" ht="12.75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6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2:34" ht="12.75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6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2:34" ht="12.75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6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2:34" ht="12.75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6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2:34" ht="12.75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6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2:34" ht="12.75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6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2:34" ht="12.75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6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2:34" ht="12.75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6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2:34" ht="12.75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6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2:34" ht="12.75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6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2:34" ht="12.75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6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2:34" ht="12.75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6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2:34" ht="12.75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6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2:34" ht="12.75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6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2:34" ht="12.75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6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2:34" ht="12.75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6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2:34" ht="12.75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6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2:34" ht="12.75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6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2:34" ht="12.75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6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2:34" ht="12.75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6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2:34" ht="12.75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6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2:34" ht="12.75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6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2:34" ht="12.75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6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2:34" ht="12.75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6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2:34" ht="12.75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6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2:34" ht="12.75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6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2:34" ht="12.75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6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2:34" ht="12.75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6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2:34" ht="12.75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6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2:34" ht="12.75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6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2:34" ht="12.75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6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2:34" ht="12.75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6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2:34" ht="12.75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6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2:34" ht="12.75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6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2:34" ht="12.75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6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2:34" ht="12.75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6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2:34" ht="12.75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6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2:34" ht="12.75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6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2:34" ht="12.75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6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2:34" ht="12.75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6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2:34" ht="12.75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6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2:34" ht="12.75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6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2:34" ht="12.75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6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2:34" ht="12.75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6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2:34" ht="12.75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6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2:34" ht="12.75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6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2:34" ht="12.75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6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2:34" ht="12.75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6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2:34" ht="12.75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6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2:34" ht="12.75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6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2:34" ht="12.75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6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2:34" ht="12.75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6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2:34" ht="12.75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6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2:34" ht="12.75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6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2:34" ht="12.75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6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2:34" ht="12.75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6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2:34" ht="12.75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6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2:34" ht="12.75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6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2:34" ht="12.75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6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2:34" ht="12.75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6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2:34" ht="12.75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6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2:34" ht="12.75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6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2:34" ht="12.75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6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2:34" ht="12.75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6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2:34" ht="12.75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6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2:34" ht="12.75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6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2:34" ht="12.75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6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2:34" ht="12.75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6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2:34" ht="12.75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6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2:34" ht="12.75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6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2:34" ht="12.75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6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2:34" ht="12.75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6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2:34" ht="12.75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6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2:34" ht="12.75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6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2:34" ht="12.75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6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2:34" ht="12.75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6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2:34" ht="12.75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6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2:34" ht="12.75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6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2:34" ht="12.75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6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2:34" ht="12.75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6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2:34" ht="12.75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6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2:34" ht="12.75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6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2:34" ht="12.75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6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2:34" ht="12.75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6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2:34" ht="12.75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6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2:34" ht="12.75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6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2:34" ht="12.75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6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2:34" ht="12.75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6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2:34" ht="12.75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6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2:34" ht="12.75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6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2:34" ht="12.75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6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2:34" ht="12.75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6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2:34" ht="12.75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6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2:34" ht="12.75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6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2:34" ht="12.75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6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2:34" ht="12.75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6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2:34" ht="12.75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6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2:34" ht="12.75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6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2:34" ht="12.75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6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2:34" ht="12.75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6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2:34" ht="12.75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6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2:34" ht="12.75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6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2:34" ht="12.75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6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2:34" ht="12.75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6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2:34" ht="12.75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6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2:34" ht="12.75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6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2:34" ht="12.75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6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2:34" ht="12.75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6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2:34" ht="12.75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6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2:34" ht="12.75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6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2:34" ht="12.75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6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2:34" ht="12.75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6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2:34" ht="12.75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6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2:34" ht="12.75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6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2:34" ht="12.75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6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2:34" ht="12.75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6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2:34" ht="12.75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6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2:34" ht="12.75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6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2:34" ht="12.75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6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2:34" ht="12.75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6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2:34" ht="12.75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6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2:34" ht="12.75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6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2:34" ht="12.75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6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2:34" ht="12.75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6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2:34" ht="12.75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6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2:34" ht="12.75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6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2:34" ht="12.75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6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2:34" ht="12.75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6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2:34" ht="12.75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6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2:34" ht="12.75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6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2:34" ht="12.75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6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2:34" ht="12.75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6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2:34" ht="12.75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6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2:34" ht="12.75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6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2:34" ht="12.75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6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2:34" ht="12.75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6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2:34" ht="12.75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6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2:34" ht="12.75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6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2:34" ht="12.75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6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2:34" ht="12.75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6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2:34" ht="12.75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6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2:34" ht="12.75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6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2:34" ht="12.75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6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2:34" ht="12.75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6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2:34" ht="12.75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6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2:34" ht="12.75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6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2:34" ht="12.75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6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2:34" ht="12.75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6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2:34" ht="12.75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6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2:34" ht="12.75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6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2:34" ht="12.75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6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2:34" ht="12.75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6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2:34" ht="12.75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6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2:34" ht="12.75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6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2:34" ht="12.75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6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2:34" ht="12.75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6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2:34" ht="12.75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6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2:34" ht="12.75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6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2:34" ht="12.75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6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2:34" ht="12.75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6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2:34" ht="12.75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6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2:34" ht="12.75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6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2:34" ht="12.75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6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2:34" ht="12.75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6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2:34" ht="12.75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6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2:34" ht="12.75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6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2:34" ht="12.75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6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2:34" ht="12.75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6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2:34" ht="12.75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6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2:34" ht="12.75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6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2:34" ht="12.75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6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2:34" ht="12.75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6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2:34" ht="12.75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6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2:34" ht="12.75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6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2:34" ht="12.75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6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2:34" ht="12.75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6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2:34" ht="12.75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6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2:34" ht="12.75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6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2:34" ht="12.75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6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2:34" ht="12.75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6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2:34" ht="12.75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6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2:34" ht="12.75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6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2:34" ht="12.75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6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2:34" ht="12.75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6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2:34" ht="12.75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6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2:34" ht="12.75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6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2:34" ht="12.75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6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2:34" ht="12.75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6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2:34" ht="12.75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6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2:34" ht="12.75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6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2:34" ht="12.75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6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2:34" ht="12.75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6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2:34" ht="12.75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6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2:34" ht="12.75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6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2:34" ht="12.75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6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2:34" ht="12.75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6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2:34" ht="12.75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6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2:34" ht="12.75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6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2:34" ht="12.75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6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2:34" ht="12.75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6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2:34" ht="12.75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6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2:34" ht="12.75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6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2:34" ht="12.75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6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2:34" ht="12.75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6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2:34" ht="12.75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6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2:34" ht="12.75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6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2:34" ht="12.75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6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2:34" ht="12.75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6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2:34" ht="12.75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6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2:34" ht="12.75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6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2:34" ht="12.75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6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2:34" ht="12.75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6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2:34" ht="12.75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6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2:34" ht="12.75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6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2:34" ht="12.75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6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2:34" ht="12.75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6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2:34" ht="12.75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6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2:34" ht="12.75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6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2:34" ht="12.75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6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2:34" ht="12.75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6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2:34" ht="12.75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6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2:34" ht="12.75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6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2:34" ht="12.75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6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2:34" ht="12.75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6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2:34" ht="12.75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6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2:34" ht="12.75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6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2:34" ht="12.75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6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2:34" ht="12.75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6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2:34" ht="12.75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6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2:34" ht="12.75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6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2:34" ht="12.75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6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2:34" ht="12.75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6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2:34" ht="12.75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6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2:34" ht="12.75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6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2:34" ht="12.75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6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2:34" ht="12.75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6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2:34" ht="12.75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6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2:34" ht="12.75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6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2:34" ht="12.75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6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2:34" ht="12.75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6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2:34" ht="12.75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6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2:34" ht="12.75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6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2:34" ht="12.75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6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2:34" ht="12.75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6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2:34" ht="12.75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6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2:34" ht="12.75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6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2:34" ht="12.75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6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2:34" ht="12.75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6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2:34" ht="12.75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6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2:34" ht="12.75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6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2:34" ht="12.75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6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2:34" ht="12.75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6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2:34" ht="12.75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6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2:34" ht="12.75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6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2:34" ht="12.75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6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2:34" ht="12.75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6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2:34" ht="12.75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6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2:34" ht="12.75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6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2:34" ht="12.75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6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2:34" ht="12.75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6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2:34" ht="12.75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6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2:34" ht="12.75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6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2:34" ht="12.75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6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2:34" ht="12.75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6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2:34" ht="12.75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6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2:34" ht="12.75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6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2:34" ht="12.75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6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2:34" ht="12.75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6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2:34" ht="12.75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6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2:34" ht="12.75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6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2:34" ht="12.75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6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2:34" ht="12.75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6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2:34" ht="12.75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6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2:34" ht="12.75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6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2:34" ht="12.75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6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2:34" ht="12.75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6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2:34" ht="12.75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6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2:34" ht="12.75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6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2:34" ht="12.75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6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2:34" ht="12.75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6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2:34" ht="12.75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6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2:34" ht="12.75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6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2:34" ht="12.75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6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2:34" ht="12.75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6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2:34" ht="12.75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6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2:34" ht="12.75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6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2:34" ht="12.75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6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2:34" ht="12.75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6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2:34" ht="12.75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6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2:34" ht="12.75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6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2:34" ht="12.75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6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2:34" ht="12.75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6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2:34" ht="12.75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6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2:34" ht="12.75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6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2:34" ht="12.75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6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2:34" ht="12.75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6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2:34" ht="12.75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6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2:34" ht="12.75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6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2:34" ht="12.75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6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2:34" ht="12.75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6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2:34" ht="12.75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6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2:34" ht="12.75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6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2:34" ht="12.75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6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2:34" ht="12.75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6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2:34" ht="12.75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6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2:34" ht="12.75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6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2:34" ht="12.75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6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2:34" ht="12.75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6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2:34" ht="12.75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6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2:34" ht="12.75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6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2:34" ht="12.75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6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2:34" ht="12.75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6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2:34" ht="12.75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6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2:34" ht="12.75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6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2:34" ht="12.75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6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2:34" ht="12.75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6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2:34" ht="12.75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6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2:34" ht="12.75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6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2:34" ht="12.75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6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2:34" ht="12.75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6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2:34" ht="12.75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6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2:34" ht="12.75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6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2:34" ht="12.75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6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2:34" ht="12.75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6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2:34" ht="12.75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6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2:34" ht="12.75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6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2:34" ht="12.75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6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2:34" ht="12.75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6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2:34" ht="12.75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6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2:34" ht="12.75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6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2:34" ht="12.75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6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2:34" ht="12.75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6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2:34" ht="12.75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6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2:34" ht="12.75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6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2:34" ht="12.75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6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2:34" ht="12.75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6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2:34" ht="12.75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6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2:34" ht="12.75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6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2:34" ht="12.75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6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2:34" ht="12.75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6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2:34" ht="12.75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6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2:34" ht="12.75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6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2:34" ht="12.75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6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2:34" ht="12.75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6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2:34" ht="12.75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6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2:34" ht="12.75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6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2:34" ht="12.75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6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2:34" ht="12.75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6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2:34" ht="12.75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6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2:34" ht="12.75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6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2:34" ht="12.75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6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2:34" ht="12.75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6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2:34" ht="12.75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6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2:34" ht="12.75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6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2:34" ht="12.75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6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2:34" ht="12.75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6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2:34" ht="12.75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6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2:34" ht="12.75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6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2:34" ht="12.75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6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2:34" ht="12.75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6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2:34" ht="12.75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6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2:34" ht="12.75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6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2:34" ht="12.75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6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2:34" ht="12.75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6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2:34" ht="12.75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6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2:34" ht="12.75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6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2:34" ht="12.75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6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2:34" ht="12.75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6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2:34" ht="12.75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6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2:34" ht="12.75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6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2:34" ht="12.75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6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2:34" ht="12.75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6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2:34" ht="12.75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6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2:34" ht="12.75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6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2:34" ht="12.75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6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2:34" ht="12.75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6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2:34" ht="12.75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6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2:34" ht="12.75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6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2:34" ht="12.75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6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2:34" ht="12.75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6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2:34" ht="12.75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6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2:34" ht="12.75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6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2:34" ht="12.75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6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2:34" ht="12.75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6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2:34" ht="12.75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6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2:34" ht="12.75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6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2:34" ht="12.75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6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2:34" ht="12.75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6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2:34" ht="12.75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6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2:34" ht="12.75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6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2:34" ht="12.75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6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2:34" ht="12.75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6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2:34" ht="12.75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6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2:34" ht="12.75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6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2:34" ht="12.75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6"/>
      <c r="Z921" s="2"/>
      <c r="AA921" s="2"/>
      <c r="AB921" s="2"/>
      <c r="AC921" s="2"/>
      <c r="AD921" s="2"/>
      <c r="AE921" s="2"/>
      <c r="AF921" s="2"/>
      <c r="AG921" s="2"/>
      <c r="AH921" s="2"/>
    </row>
  </sheetData>
  <mergeCells count="5">
    <mergeCell ref="S5:S6"/>
    <mergeCell ref="S8:S9"/>
    <mergeCell ref="S11:S12"/>
    <mergeCell ref="B20:Y20"/>
    <mergeCell ref="B50:C50"/>
  </mergeCells>
  <conditionalFormatting sqref="Y12 V12">
    <cfRule type="cellIs" dxfId="69" priority="1" operator="lessThan">
      <formula>0.99</formula>
    </cfRule>
  </conditionalFormatting>
  <conditionalFormatting sqref="V6">
    <cfRule type="cellIs" dxfId="68" priority="11" operator="greaterThan">
      <formula>1</formula>
    </cfRule>
    <cfRule type="cellIs" dxfId="67" priority="12" operator="greaterThan">
      <formula>1</formula>
    </cfRule>
  </conditionalFormatting>
  <conditionalFormatting sqref="Y6 V6">
    <cfRule type="cellIs" dxfId="66" priority="10" operator="greaterThan">
      <formula>0.99</formula>
    </cfRule>
  </conditionalFormatting>
  <conditionalFormatting sqref="Y6 V6">
    <cfRule type="cellIs" dxfId="65" priority="9" operator="lessThan">
      <formula>0.99</formula>
    </cfRule>
  </conditionalFormatting>
  <conditionalFormatting sqref="V9">
    <cfRule type="cellIs" dxfId="64" priority="7" operator="greaterThan">
      <formula>1</formula>
    </cfRule>
    <cfRule type="cellIs" dxfId="63" priority="8" operator="greaterThan">
      <formula>1</formula>
    </cfRule>
  </conditionalFormatting>
  <conditionalFormatting sqref="Y9 V9">
    <cfRule type="cellIs" dxfId="62" priority="6" operator="greaterThan">
      <formula>0.99</formula>
    </cfRule>
  </conditionalFormatting>
  <conditionalFormatting sqref="Y9 V9">
    <cfRule type="cellIs" dxfId="61" priority="5" operator="lessThan">
      <formula>0.99</formula>
    </cfRule>
  </conditionalFormatting>
  <conditionalFormatting sqref="V12">
    <cfRule type="cellIs" dxfId="60" priority="3" operator="greaterThan">
      <formula>1</formula>
    </cfRule>
    <cfRule type="cellIs" dxfId="59" priority="4" operator="greaterThan">
      <formula>1</formula>
    </cfRule>
  </conditionalFormatting>
  <conditionalFormatting sqref="Y12 V12">
    <cfRule type="cellIs" dxfId="58" priority="2" operator="greaterThan">
      <formula>0.99</formula>
    </cfRule>
  </conditionalFormatting>
  <pageMargins left="0.7" right="0.7" top="0.75" bottom="0.75" header="0.3" footer="0.3"/>
  <pageSetup paperSize="9" scale="54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2:AO943"/>
  <sheetViews>
    <sheetView zoomScale="80" zoomScaleNormal="80" workbookViewId="0">
      <selection activeCell="K25" sqref="K25"/>
    </sheetView>
  </sheetViews>
  <sheetFormatPr defaultColWidth="14.42578125" defaultRowHeight="15.75" customHeight="1" x14ac:dyDescent="0.2"/>
  <cols>
    <col min="1" max="1" width="2.28515625" style="4" customWidth="1"/>
    <col min="2" max="2" width="9.7109375" style="4" customWidth="1"/>
    <col min="3" max="3" width="17.42578125" style="4" customWidth="1"/>
    <col min="4" max="4" width="14.28515625" style="4" customWidth="1"/>
    <col min="5" max="5" width="12.7109375" style="4" customWidth="1"/>
    <col min="6" max="6" width="9.7109375" style="4" customWidth="1"/>
    <col min="7" max="7" width="10.7109375" style="4" customWidth="1"/>
    <col min="8" max="8" width="11" style="4" customWidth="1"/>
    <col min="9" max="9" width="12.28515625" style="4" customWidth="1"/>
    <col min="10" max="10" width="11.28515625" style="4" customWidth="1"/>
    <col min="11" max="11" width="12.7109375" style="4" customWidth="1"/>
    <col min="12" max="12" width="11.7109375" style="4" customWidth="1"/>
    <col min="13" max="13" width="11.5703125" style="4" customWidth="1"/>
    <col min="14" max="14" width="11.28515625" style="4" customWidth="1"/>
    <col min="15" max="15" width="12.28515625" style="4" customWidth="1"/>
    <col min="16" max="17" width="11.7109375" style="4" customWidth="1"/>
    <col min="18" max="18" width="6.42578125" style="4" customWidth="1"/>
    <col min="19" max="19" width="7.28515625" style="4" customWidth="1"/>
    <col min="20" max="20" width="9.7109375" style="4" customWidth="1"/>
    <col min="21" max="21" width="10.5703125" style="4" customWidth="1"/>
    <col min="22" max="22" width="9.7109375" style="4" customWidth="1"/>
    <col min="23" max="23" width="12.28515625" style="4" customWidth="1"/>
    <col min="24" max="24" width="12.7109375" style="4" customWidth="1"/>
    <col min="25" max="25" width="11.7109375" style="4" customWidth="1"/>
    <col min="26" max="26" width="10.7109375" style="4" customWidth="1"/>
    <col min="27" max="16384" width="14.42578125" style="4"/>
  </cols>
  <sheetData>
    <row r="2" spans="1:41" x14ac:dyDescent="0.25">
      <c r="B2" s="5" t="s">
        <v>152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T2" s="2"/>
      <c r="U2" s="2"/>
      <c r="V2" s="2"/>
      <c r="W2" s="2"/>
      <c r="X2" s="2"/>
      <c r="Y2" s="2"/>
      <c r="Z2" s="6"/>
      <c r="AA2" s="2"/>
      <c r="AB2" s="2"/>
      <c r="AC2" s="2"/>
      <c r="AD2" s="2"/>
      <c r="AE2" s="2"/>
      <c r="AF2" s="2"/>
      <c r="AG2" s="2"/>
      <c r="AH2" s="2"/>
    </row>
    <row r="3" spans="1:41" ht="14.25" customHeight="1" x14ac:dyDescent="0.2">
      <c r="B3" s="7"/>
      <c r="C3" s="2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T3" s="2"/>
      <c r="U3" s="2"/>
      <c r="V3" s="2"/>
      <c r="W3" s="2"/>
      <c r="X3" s="2"/>
      <c r="Y3" s="2"/>
      <c r="Z3" s="6"/>
      <c r="AA3" s="2"/>
      <c r="AB3" s="2"/>
      <c r="AC3" s="2"/>
      <c r="AD3" s="2"/>
      <c r="AE3" s="2"/>
      <c r="AF3" s="2"/>
      <c r="AG3" s="2"/>
      <c r="AH3" s="2"/>
    </row>
    <row r="4" spans="1:41" ht="15.75" customHeight="1" x14ac:dyDescent="0.2">
      <c r="B4" s="7" t="s">
        <v>46</v>
      </c>
      <c r="C4" s="2"/>
      <c r="D4" s="84" t="s">
        <v>3</v>
      </c>
      <c r="E4" s="7"/>
      <c r="F4" s="2"/>
      <c r="G4" s="7"/>
      <c r="H4" s="7"/>
      <c r="I4" s="2"/>
      <c r="J4" s="8"/>
      <c r="K4" s="7"/>
      <c r="L4" s="2"/>
      <c r="M4" s="2"/>
      <c r="N4" s="2"/>
      <c r="X4" s="2"/>
      <c r="Y4" s="2"/>
      <c r="Z4" s="6"/>
      <c r="AA4" s="2"/>
      <c r="AB4" s="2"/>
      <c r="AC4" s="2"/>
      <c r="AD4" s="2"/>
      <c r="AE4" s="2"/>
      <c r="AF4" s="2"/>
      <c r="AG4" s="2"/>
      <c r="AH4" s="2"/>
    </row>
    <row r="5" spans="1:41" ht="15.75" customHeight="1" x14ac:dyDescent="0.2">
      <c r="A5" s="34"/>
      <c r="B5" s="7" t="s">
        <v>47</v>
      </c>
      <c r="C5" s="2"/>
      <c r="D5" s="8">
        <v>52</v>
      </c>
      <c r="E5" s="34"/>
      <c r="F5" s="64"/>
      <c r="G5" s="34"/>
      <c r="H5" s="34"/>
      <c r="I5" s="7"/>
      <c r="J5" s="2"/>
      <c r="K5" s="2"/>
      <c r="L5" s="2"/>
      <c r="M5" s="2"/>
      <c r="N5" s="2"/>
      <c r="X5" s="2"/>
      <c r="Y5" s="2"/>
      <c r="Z5" s="6"/>
      <c r="AA5" s="2"/>
      <c r="AB5" s="2"/>
      <c r="AC5" s="2"/>
      <c r="AD5" s="2"/>
      <c r="AE5" s="2"/>
      <c r="AF5" s="2"/>
      <c r="AG5" s="2"/>
      <c r="AH5" s="2"/>
    </row>
    <row r="6" spans="1:41" ht="25.5" x14ac:dyDescent="0.2">
      <c r="A6" s="34"/>
      <c r="B6" s="7" t="s">
        <v>48</v>
      </c>
      <c r="C6" s="2"/>
      <c r="D6" s="8">
        <v>44</v>
      </c>
      <c r="E6" s="1"/>
      <c r="F6" s="1"/>
      <c r="G6" s="34"/>
      <c r="H6" s="34"/>
      <c r="I6" s="7"/>
      <c r="J6" s="2"/>
      <c r="K6" s="2"/>
      <c r="L6" s="2"/>
      <c r="M6" s="2"/>
      <c r="N6" s="2"/>
      <c r="T6" s="359" t="s">
        <v>153</v>
      </c>
      <c r="U6" s="36" t="s">
        <v>53</v>
      </c>
      <c r="V6" s="37" t="s">
        <v>54</v>
      </c>
      <c r="W6" s="37" t="s">
        <v>55</v>
      </c>
      <c r="X6" s="37" t="s">
        <v>56</v>
      </c>
      <c r="Y6" s="37" t="s">
        <v>57</v>
      </c>
      <c r="Z6" s="38" t="s">
        <v>58</v>
      </c>
      <c r="AA6" s="2"/>
      <c r="AB6" s="2"/>
      <c r="AC6" s="2"/>
      <c r="AD6" s="2"/>
      <c r="AE6" s="2"/>
      <c r="AF6" s="2"/>
      <c r="AG6" s="2"/>
      <c r="AH6" s="2"/>
    </row>
    <row r="7" spans="1:41" ht="15.75" customHeight="1" x14ac:dyDescent="0.2">
      <c r="A7" s="34"/>
      <c r="B7" s="7" t="s">
        <v>49</v>
      </c>
      <c r="C7" s="2"/>
      <c r="D7" s="8">
        <f>D5-D6</f>
        <v>8</v>
      </c>
      <c r="E7" s="1"/>
      <c r="F7" s="1"/>
      <c r="G7" s="34"/>
      <c r="H7" s="34"/>
      <c r="I7" s="7"/>
      <c r="J7" s="2"/>
      <c r="K7" s="2"/>
      <c r="L7" s="2"/>
      <c r="M7" s="2"/>
      <c r="N7" s="2"/>
      <c r="T7" s="359"/>
      <c r="U7" s="39">
        <v>83856.481952786562</v>
      </c>
      <c r="V7" s="40">
        <f>SUM(G31:G31)</f>
        <v>59454</v>
      </c>
      <c r="W7" s="41">
        <f>V7/U7</f>
        <v>0.70899706993997424</v>
      </c>
      <c r="X7" s="67">
        <v>741.35</v>
      </c>
      <c r="Y7" s="92">
        <f>SUM(X31:X31)</f>
        <v>741.35</v>
      </c>
      <c r="Z7" s="41">
        <f>Y7/X7</f>
        <v>1</v>
      </c>
      <c r="AA7" s="2"/>
      <c r="AB7" s="2"/>
      <c r="AC7" s="2"/>
      <c r="AD7" s="2"/>
      <c r="AE7" s="2"/>
      <c r="AF7" s="2"/>
      <c r="AG7" s="2"/>
      <c r="AH7" s="2"/>
    </row>
    <row r="8" spans="1:41" ht="15.75" customHeight="1" x14ac:dyDescent="0.2">
      <c r="A8" s="34"/>
      <c r="B8" s="7" t="s">
        <v>50</v>
      </c>
      <c r="C8" s="2"/>
      <c r="D8" s="91">
        <f>X7+X10+X12</f>
        <v>63184.7</v>
      </c>
      <c r="E8" s="1"/>
      <c r="F8" s="1"/>
      <c r="G8" s="34"/>
      <c r="H8" s="34"/>
      <c r="I8" s="7"/>
      <c r="J8" s="2"/>
      <c r="K8" s="2"/>
      <c r="L8" s="2"/>
      <c r="M8" s="2"/>
      <c r="N8" s="2"/>
      <c r="U8" s="44"/>
      <c r="V8" s="48"/>
      <c r="W8" s="45"/>
      <c r="X8" s="46"/>
      <c r="Y8" s="47"/>
      <c r="Z8" s="45"/>
      <c r="AA8" s="2"/>
      <c r="AB8" s="2"/>
      <c r="AC8" s="2"/>
      <c r="AD8" s="2"/>
      <c r="AE8" s="2"/>
      <c r="AF8" s="2"/>
      <c r="AG8" s="2"/>
      <c r="AH8" s="2"/>
    </row>
    <row r="9" spans="1:41" ht="25.5" x14ac:dyDescent="0.2">
      <c r="B9" s="35" t="s">
        <v>51</v>
      </c>
      <c r="C9" s="1"/>
      <c r="D9" s="101" t="s">
        <v>52</v>
      </c>
      <c r="E9" s="1"/>
      <c r="F9" s="1"/>
      <c r="I9" s="7"/>
      <c r="J9" s="2"/>
      <c r="K9" s="2"/>
      <c r="L9" s="2"/>
      <c r="M9" s="2"/>
      <c r="N9" s="2"/>
      <c r="T9" s="366" t="s">
        <v>154</v>
      </c>
      <c r="U9" s="37" t="s">
        <v>53</v>
      </c>
      <c r="V9" s="37" t="s">
        <v>54</v>
      </c>
      <c r="W9" s="37" t="s">
        <v>55</v>
      </c>
      <c r="X9" s="37" t="s">
        <v>56</v>
      </c>
      <c r="Y9" s="37" t="s">
        <v>57</v>
      </c>
      <c r="Z9" s="38" t="s">
        <v>58</v>
      </c>
      <c r="AA9" s="2"/>
      <c r="AB9" s="2"/>
      <c r="AC9" s="2"/>
      <c r="AD9" s="2"/>
      <c r="AE9" s="2"/>
      <c r="AF9" s="2"/>
      <c r="AG9" s="2"/>
      <c r="AH9" s="2"/>
    </row>
    <row r="10" spans="1:41" ht="15.75" customHeight="1" x14ac:dyDescent="0.2">
      <c r="B10" s="35" t="s">
        <v>59</v>
      </c>
      <c r="C10" s="1"/>
      <c r="D10" s="90">
        <v>43482</v>
      </c>
      <c r="E10" s="1"/>
      <c r="F10" s="1"/>
      <c r="I10" s="7"/>
      <c r="J10" s="2"/>
      <c r="K10" s="2"/>
      <c r="L10" s="2"/>
      <c r="M10" s="2"/>
      <c r="N10" s="2"/>
      <c r="T10" s="367"/>
      <c r="U10" s="39">
        <v>5785766</v>
      </c>
      <c r="V10" s="40">
        <f>G67-V7</f>
        <v>5413933</v>
      </c>
      <c r="W10" s="41">
        <f>V10/U10</f>
        <v>0.93573314233586358</v>
      </c>
      <c r="X10" s="42">
        <f>51153.35-X12+3500+7790</f>
        <v>45992.189999999995</v>
      </c>
      <c r="Y10" s="92">
        <f>X67-Y7</f>
        <v>21052.88625</v>
      </c>
      <c r="Z10" s="41">
        <f>Y10/X10</f>
        <v>0.45774915806357563</v>
      </c>
      <c r="AA10" s="2"/>
      <c r="AB10" s="2"/>
      <c r="AC10" s="2"/>
      <c r="AD10" s="2"/>
      <c r="AE10" s="2"/>
      <c r="AF10" s="2"/>
      <c r="AG10" s="2"/>
      <c r="AH10" s="2"/>
    </row>
    <row r="11" spans="1:41" ht="24.6" customHeight="1" x14ac:dyDescent="0.2">
      <c r="B11" s="35"/>
      <c r="C11" s="1"/>
      <c r="D11" s="33"/>
      <c r="E11" s="1"/>
      <c r="F11" s="1"/>
      <c r="I11" s="7"/>
      <c r="J11" s="2"/>
      <c r="K11" s="2"/>
      <c r="L11" s="2"/>
      <c r="M11" s="2"/>
      <c r="N11" s="2"/>
      <c r="T11" s="367"/>
      <c r="U11" s="37" t="s">
        <v>155</v>
      </c>
      <c r="V11" s="37" t="s">
        <v>54</v>
      </c>
      <c r="W11" s="37" t="s">
        <v>55</v>
      </c>
      <c r="X11" s="37" t="s">
        <v>56</v>
      </c>
      <c r="Y11" s="37" t="s">
        <v>57</v>
      </c>
      <c r="Z11" s="38" t="s">
        <v>58</v>
      </c>
      <c r="AA11" s="2"/>
      <c r="AB11" s="2"/>
      <c r="AC11" s="2"/>
      <c r="AD11" s="2"/>
      <c r="AE11" s="2"/>
      <c r="AF11" s="2"/>
      <c r="AG11" s="2"/>
      <c r="AH11" s="2"/>
    </row>
    <row r="12" spans="1:41" ht="24" customHeight="1" x14ac:dyDescent="0.2">
      <c r="B12" s="35"/>
      <c r="C12" s="1"/>
      <c r="D12" s="33"/>
      <c r="E12" s="1"/>
      <c r="F12" s="1"/>
      <c r="I12" s="7"/>
      <c r="J12" s="2"/>
      <c r="K12" s="2"/>
      <c r="L12" s="2"/>
      <c r="M12" s="2"/>
      <c r="N12" s="2"/>
      <c r="T12" s="368"/>
      <c r="U12" s="39">
        <f>X12/0.07</f>
        <v>235016.57142857145</v>
      </c>
      <c r="V12" s="40">
        <f>I90</f>
        <v>398398</v>
      </c>
      <c r="W12" s="41">
        <f>V12/U12</f>
        <v>1.6951910989863328</v>
      </c>
      <c r="X12" s="42">
        <f>W90</f>
        <v>16451.160000000003</v>
      </c>
      <c r="Y12" s="92">
        <f>X90</f>
        <v>16293.680625000001</v>
      </c>
      <c r="Z12" s="41">
        <f>Y12/X12</f>
        <v>0.99042746073833077</v>
      </c>
      <c r="AA12" s="48"/>
      <c r="AB12" s="48"/>
      <c r="AC12" s="49"/>
      <c r="AD12" s="50"/>
      <c r="AE12" s="51"/>
      <c r="AF12" s="49"/>
      <c r="AG12" s="2"/>
      <c r="AH12" s="2"/>
      <c r="AI12" s="2"/>
      <c r="AJ12" s="2"/>
      <c r="AK12" s="2"/>
      <c r="AL12" s="2"/>
      <c r="AM12" s="2"/>
      <c r="AN12" s="2"/>
      <c r="AO12" s="2"/>
    </row>
    <row r="13" spans="1:41" ht="18" customHeight="1" x14ac:dyDescent="0.2">
      <c r="B13" s="35"/>
      <c r="C13" s="1"/>
      <c r="D13" s="33"/>
      <c r="E13" s="1"/>
      <c r="F13" s="1"/>
      <c r="I13" s="7"/>
      <c r="J13" s="2"/>
      <c r="K13" s="2"/>
      <c r="L13" s="2"/>
      <c r="M13" s="2"/>
      <c r="N13" s="2"/>
      <c r="T13" s="48"/>
      <c r="U13" s="48"/>
      <c r="V13" s="49"/>
      <c r="W13" s="50"/>
      <c r="X13" s="51"/>
      <c r="Y13" s="49"/>
      <c r="Z13" s="2"/>
      <c r="AA13" s="48"/>
      <c r="AB13" s="48"/>
      <c r="AC13" s="49"/>
      <c r="AD13" s="50"/>
      <c r="AE13" s="51"/>
      <c r="AF13" s="49"/>
      <c r="AG13" s="2"/>
      <c r="AH13" s="2"/>
      <c r="AI13" s="2"/>
      <c r="AJ13" s="2"/>
      <c r="AK13" s="2"/>
      <c r="AL13" s="2"/>
      <c r="AM13" s="2"/>
      <c r="AN13" s="2"/>
      <c r="AO13" s="2"/>
    </row>
    <row r="14" spans="1:41" ht="25.9" customHeight="1" x14ac:dyDescent="0.2">
      <c r="B14" s="35"/>
      <c r="C14" s="1"/>
      <c r="D14" s="33"/>
      <c r="E14" s="1"/>
      <c r="F14" s="1"/>
      <c r="I14" s="7"/>
      <c r="J14" s="2"/>
      <c r="K14" s="2"/>
      <c r="L14" s="2"/>
      <c r="M14" s="2"/>
      <c r="N14" s="2"/>
      <c r="T14" s="366" t="s">
        <v>156</v>
      </c>
      <c r="U14" s="229" t="s">
        <v>157</v>
      </c>
      <c r="V14" s="37" t="s">
        <v>54</v>
      </c>
      <c r="W14" s="37" t="s">
        <v>55</v>
      </c>
      <c r="X14" s="37" t="s">
        <v>56</v>
      </c>
      <c r="Y14" s="37" t="s">
        <v>57</v>
      </c>
      <c r="Z14" s="38" t="s">
        <v>58</v>
      </c>
      <c r="AA14" s="2"/>
      <c r="AB14" s="2"/>
      <c r="AC14" s="2"/>
      <c r="AD14" s="2"/>
      <c r="AE14" s="2"/>
      <c r="AF14" s="2"/>
      <c r="AG14" s="2"/>
      <c r="AH14" s="2"/>
    </row>
    <row r="15" spans="1:41" ht="24" customHeight="1" x14ac:dyDescent="0.2">
      <c r="B15" s="35"/>
      <c r="C15" s="1"/>
      <c r="D15" s="33"/>
      <c r="E15" s="1"/>
      <c r="F15" s="1"/>
      <c r="I15" s="7"/>
      <c r="J15" s="2"/>
      <c r="K15" s="2"/>
      <c r="L15" s="2"/>
      <c r="M15" s="2"/>
      <c r="N15" s="2"/>
      <c r="T15" s="367"/>
      <c r="U15" s="230">
        <f>X15/4*1000</f>
        <v>1875000</v>
      </c>
      <c r="V15" s="40">
        <f>E109</f>
        <v>2233935</v>
      </c>
      <c r="W15" s="41">
        <f>V15/U15</f>
        <v>1.191432</v>
      </c>
      <c r="X15" s="42">
        <v>7500</v>
      </c>
      <c r="Y15" s="92">
        <f>J110</f>
        <v>8935.74</v>
      </c>
      <c r="Z15" s="41">
        <f>Y15/X15</f>
        <v>1.191432</v>
      </c>
      <c r="AA15" s="48"/>
      <c r="AB15" s="48"/>
      <c r="AC15" s="49"/>
      <c r="AD15" s="50"/>
      <c r="AE15" s="51"/>
      <c r="AF15" s="49"/>
      <c r="AG15" s="2"/>
      <c r="AH15" s="2"/>
      <c r="AI15" s="2"/>
      <c r="AJ15" s="2"/>
      <c r="AK15" s="2"/>
      <c r="AL15" s="2"/>
      <c r="AM15" s="2"/>
      <c r="AN15" s="2"/>
      <c r="AO15" s="2"/>
    </row>
    <row r="16" spans="1:41" ht="24" customHeight="1" x14ac:dyDescent="0.2">
      <c r="B16" s="35"/>
      <c r="C16" s="1"/>
      <c r="D16" s="33"/>
      <c r="E16" s="1"/>
      <c r="F16" s="1"/>
      <c r="I16" s="7"/>
      <c r="J16" s="2"/>
      <c r="K16" s="2"/>
      <c r="L16" s="2"/>
      <c r="M16" s="2"/>
      <c r="N16" s="2"/>
      <c r="T16" s="367"/>
      <c r="U16" s="229" t="s">
        <v>155</v>
      </c>
      <c r="V16" s="37" t="s">
        <v>54</v>
      </c>
      <c r="W16" s="37" t="s">
        <v>55</v>
      </c>
      <c r="X16" s="37" t="s">
        <v>56</v>
      </c>
      <c r="Y16" s="37" t="s">
        <v>57</v>
      </c>
      <c r="Z16" s="38" t="s">
        <v>58</v>
      </c>
      <c r="AA16" s="48"/>
      <c r="AB16" s="48"/>
      <c r="AC16" s="49"/>
      <c r="AD16" s="50"/>
      <c r="AE16" s="51"/>
      <c r="AF16" s="49"/>
      <c r="AG16" s="2"/>
      <c r="AH16" s="2"/>
      <c r="AI16" s="2"/>
      <c r="AJ16" s="2"/>
      <c r="AK16" s="2"/>
      <c r="AL16" s="2"/>
      <c r="AM16" s="2"/>
      <c r="AN16" s="2"/>
      <c r="AO16" s="2"/>
    </row>
    <row r="17" spans="2:41" ht="24" customHeight="1" x14ac:dyDescent="0.2">
      <c r="B17" s="35"/>
      <c r="C17" s="1"/>
      <c r="D17" s="33"/>
      <c r="E17" s="1"/>
      <c r="F17" s="1"/>
      <c r="I17" s="7"/>
      <c r="J17" s="2"/>
      <c r="K17" s="2"/>
      <c r="L17" s="2"/>
      <c r="M17" s="2"/>
      <c r="N17" s="2"/>
      <c r="T17" s="368"/>
      <c r="U17" s="39">
        <v>62500</v>
      </c>
      <c r="V17" s="40">
        <f>F114</f>
        <v>73057</v>
      </c>
      <c r="W17" s="41">
        <f>V17/U17</f>
        <v>1.168912</v>
      </c>
      <c r="X17" s="42">
        <v>2500</v>
      </c>
      <c r="Y17" s="92">
        <f>L115</f>
        <v>2922.28</v>
      </c>
      <c r="Z17" s="41">
        <f>Y17/X17</f>
        <v>1.1689120000000002</v>
      </c>
      <c r="AA17" s="48"/>
      <c r="AB17" s="48"/>
      <c r="AC17" s="49"/>
      <c r="AD17" s="50"/>
      <c r="AE17" s="51"/>
      <c r="AF17" s="49"/>
      <c r="AG17" s="2"/>
      <c r="AH17" s="2"/>
      <c r="AI17" s="2"/>
      <c r="AJ17" s="2"/>
      <c r="AK17" s="2"/>
      <c r="AL17" s="2"/>
      <c r="AM17" s="2"/>
      <c r="AN17" s="2"/>
      <c r="AO17" s="2"/>
    </row>
    <row r="18" spans="2:41" ht="24" customHeight="1" x14ac:dyDescent="0.2">
      <c r="B18" s="35"/>
      <c r="C18" s="1"/>
      <c r="D18" s="33"/>
      <c r="E18" s="1"/>
      <c r="F18" s="1"/>
      <c r="I18" s="7"/>
      <c r="J18" s="2"/>
      <c r="K18" s="2"/>
      <c r="L18" s="2"/>
      <c r="M18" s="2"/>
      <c r="N18" s="2"/>
      <c r="T18" s="228"/>
      <c r="U18" s="44"/>
      <c r="V18" s="48"/>
      <c r="W18" s="50"/>
      <c r="X18" s="50"/>
      <c r="Y18" s="51"/>
      <c r="Z18" s="50"/>
      <c r="AA18" s="48"/>
      <c r="AB18" s="48"/>
      <c r="AC18" s="49"/>
      <c r="AD18" s="50"/>
      <c r="AE18" s="51"/>
      <c r="AF18" s="49"/>
      <c r="AG18" s="2"/>
      <c r="AH18" s="2"/>
      <c r="AI18" s="2"/>
      <c r="AJ18" s="2"/>
      <c r="AK18" s="2"/>
      <c r="AL18" s="2"/>
      <c r="AM18" s="2"/>
      <c r="AN18" s="2"/>
      <c r="AO18" s="2"/>
    </row>
    <row r="19" spans="2:41" ht="24" customHeight="1" x14ac:dyDescent="0.2">
      <c r="B19" s="35"/>
      <c r="C19" s="1"/>
      <c r="D19" s="33"/>
      <c r="E19" s="1"/>
      <c r="F19" s="1"/>
      <c r="I19" s="7"/>
      <c r="J19" s="2"/>
      <c r="K19" s="2"/>
      <c r="L19" s="2"/>
      <c r="M19" s="2"/>
      <c r="N19" s="2"/>
      <c r="T19" s="359" t="s">
        <v>37</v>
      </c>
      <c r="U19" s="36" t="s">
        <v>155</v>
      </c>
      <c r="V19" s="37" t="s">
        <v>54</v>
      </c>
      <c r="W19" s="37" t="s">
        <v>55</v>
      </c>
      <c r="X19" s="37" t="s">
        <v>56</v>
      </c>
      <c r="Y19" s="37" t="s">
        <v>57</v>
      </c>
      <c r="Z19" s="38" t="s">
        <v>58</v>
      </c>
      <c r="AA19" s="48"/>
      <c r="AB19" s="48"/>
      <c r="AC19" s="49"/>
      <c r="AD19" s="50"/>
      <c r="AE19" s="51"/>
      <c r="AF19" s="49"/>
      <c r="AG19" s="2"/>
      <c r="AH19" s="2"/>
      <c r="AI19" s="2"/>
      <c r="AJ19" s="2"/>
      <c r="AK19" s="2"/>
      <c r="AL19" s="2"/>
      <c r="AM19" s="2"/>
      <c r="AN19" s="2"/>
      <c r="AO19" s="2"/>
    </row>
    <row r="20" spans="2:41" ht="24" customHeight="1" x14ac:dyDescent="0.2">
      <c r="B20" s="35"/>
      <c r="C20" s="1"/>
      <c r="D20" s="33"/>
      <c r="E20" s="1"/>
      <c r="F20" s="1"/>
      <c r="I20" s="7"/>
      <c r="J20" s="2"/>
      <c r="K20" s="2"/>
      <c r="L20" s="2"/>
      <c r="M20" s="2"/>
      <c r="N20" s="2"/>
      <c r="T20" s="359"/>
      <c r="U20" s="39">
        <v>628571</v>
      </c>
      <c r="V20" s="40">
        <f>F130</f>
        <v>638445</v>
      </c>
      <c r="W20" s="41">
        <f>V20/U20</f>
        <v>1.0157086470740775</v>
      </c>
      <c r="X20" s="67">
        <v>39000</v>
      </c>
      <c r="Y20" s="92">
        <f>P130</f>
        <v>41202.620000000003</v>
      </c>
      <c r="Z20" s="41">
        <f>Y20/X20</f>
        <v>1.056477435897436</v>
      </c>
      <c r="AA20" s="48"/>
      <c r="AB20" s="48"/>
      <c r="AC20" s="49"/>
      <c r="AD20" s="50"/>
      <c r="AE20" s="51"/>
      <c r="AF20" s="49"/>
      <c r="AG20" s="2"/>
      <c r="AH20" s="2"/>
      <c r="AI20" s="2"/>
      <c r="AJ20" s="2"/>
      <c r="AK20" s="2"/>
      <c r="AL20" s="2"/>
      <c r="AM20" s="2"/>
      <c r="AN20" s="2"/>
      <c r="AO20" s="2"/>
    </row>
    <row r="21" spans="2:41" ht="18" customHeight="1" x14ac:dyDescent="0.2">
      <c r="B21" s="35"/>
      <c r="C21" s="1"/>
      <c r="D21" s="33"/>
      <c r="E21" s="1"/>
      <c r="F21" s="1"/>
      <c r="I21" s="7"/>
      <c r="J21" s="2"/>
      <c r="K21" s="2"/>
      <c r="L21" s="2"/>
      <c r="M21" s="2"/>
      <c r="N21" s="2"/>
      <c r="T21" s="228"/>
      <c r="U21" s="44"/>
      <c r="V21" s="48"/>
      <c r="W21" s="50"/>
      <c r="X21" s="50"/>
      <c r="Y21" s="51"/>
      <c r="Z21" s="50"/>
      <c r="AA21" s="50"/>
      <c r="AB21" s="48"/>
      <c r="AC21" s="49"/>
      <c r="AD21" s="50"/>
      <c r="AE21" s="51"/>
      <c r="AF21" s="49"/>
      <c r="AG21" s="2"/>
      <c r="AH21" s="2"/>
      <c r="AI21" s="2"/>
      <c r="AJ21" s="2"/>
      <c r="AK21" s="2"/>
      <c r="AL21" s="2"/>
      <c r="AM21" s="2"/>
      <c r="AN21" s="2"/>
      <c r="AO21" s="2"/>
    </row>
    <row r="22" spans="2:41" ht="18" customHeight="1" thickBot="1" x14ac:dyDescent="0.25">
      <c r="B22" s="35"/>
      <c r="C22" s="1"/>
      <c r="D22" s="33"/>
      <c r="E22" s="1"/>
      <c r="F22" s="1"/>
      <c r="I22" s="7"/>
      <c r="J22" s="2"/>
      <c r="K22" s="2"/>
      <c r="L22" s="2"/>
      <c r="M22" s="2"/>
      <c r="N22" s="2"/>
      <c r="T22" s="48"/>
      <c r="U22" s="48"/>
      <c r="V22" s="49"/>
      <c r="W22" s="50"/>
      <c r="X22" s="51"/>
      <c r="Y22" s="49"/>
      <c r="Z22" s="2"/>
      <c r="AA22" s="2"/>
      <c r="AB22" s="2"/>
      <c r="AC22" s="2"/>
      <c r="AD22" s="2"/>
      <c r="AE22" s="2"/>
      <c r="AF22" s="2"/>
      <c r="AG22" s="2"/>
      <c r="AH22" s="2"/>
    </row>
    <row r="23" spans="2:41" ht="15.75" customHeight="1" x14ac:dyDescent="0.2">
      <c r="B23" s="63" t="s">
        <v>60</v>
      </c>
      <c r="C23" s="52"/>
      <c r="D23" s="53"/>
      <c r="E23" s="52"/>
      <c r="F23" s="52"/>
      <c r="G23" s="54"/>
      <c r="H23" s="54"/>
      <c r="I23" s="55"/>
      <c r="J23" s="52"/>
      <c r="K23" s="52"/>
      <c r="L23" s="52"/>
      <c r="M23" s="52"/>
      <c r="N23" s="52"/>
      <c r="O23" s="54"/>
      <c r="P23" s="54"/>
      <c r="Q23" s="54"/>
      <c r="R23" s="54"/>
      <c r="S23" s="54"/>
      <c r="T23" s="54"/>
      <c r="U23" s="54"/>
      <c r="V23" s="54"/>
      <c r="W23" s="52"/>
      <c r="X23" s="52"/>
      <c r="Y23" s="53"/>
      <c r="Z23" s="86"/>
      <c r="AA23" s="1"/>
      <c r="AB23" s="2"/>
      <c r="AC23" s="2"/>
      <c r="AD23" s="2"/>
      <c r="AE23" s="2"/>
      <c r="AF23" s="2"/>
      <c r="AG23" s="2"/>
      <c r="AH23" s="2"/>
    </row>
    <row r="24" spans="2:41" ht="15.75" customHeight="1" x14ac:dyDescent="0.2">
      <c r="B24" s="65"/>
      <c r="C24" s="1"/>
      <c r="D24" s="33"/>
      <c r="E24" s="1"/>
      <c r="F24" s="1"/>
      <c r="G24" s="34"/>
      <c r="H24" s="34"/>
      <c r="I24" s="35"/>
      <c r="J24" s="1"/>
      <c r="K24" s="1"/>
      <c r="L24" s="1"/>
      <c r="M24" s="1"/>
      <c r="N24" s="1"/>
      <c r="O24" s="34"/>
      <c r="P24" s="34"/>
      <c r="Q24" s="34"/>
      <c r="R24" s="34"/>
      <c r="S24" s="34"/>
      <c r="T24" s="34"/>
      <c r="U24" s="34"/>
      <c r="V24" s="34"/>
      <c r="W24" s="1"/>
      <c r="X24" s="1"/>
      <c r="Y24" s="33"/>
      <c r="Z24" s="87"/>
      <c r="AA24" s="1"/>
      <c r="AB24" s="2"/>
      <c r="AC24" s="2"/>
      <c r="AD24" s="2"/>
      <c r="AE24" s="2"/>
      <c r="AF24" s="2"/>
      <c r="AG24" s="2"/>
      <c r="AH24" s="2"/>
    </row>
    <row r="25" spans="2:41" ht="12.75" x14ac:dyDescent="0.2">
      <c r="B25" s="57"/>
      <c r="C25" s="1"/>
      <c r="D25" s="33"/>
      <c r="E25" s="1"/>
      <c r="F25" s="1"/>
      <c r="G25" s="34"/>
      <c r="H25" s="34"/>
      <c r="I25" s="35"/>
      <c r="J25" s="1"/>
      <c r="K25" s="1"/>
      <c r="L25" s="1"/>
      <c r="M25" s="1"/>
      <c r="N25" s="1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87"/>
      <c r="AA25" s="1"/>
      <c r="AB25" s="2"/>
      <c r="AC25" s="2"/>
      <c r="AD25" s="2"/>
      <c r="AE25" s="2"/>
      <c r="AF25" s="2"/>
      <c r="AG25" s="2"/>
      <c r="AH25" s="2"/>
    </row>
    <row r="26" spans="2:41" ht="15.75" customHeight="1" x14ac:dyDescent="0.2">
      <c r="B26" s="57"/>
      <c r="C26" s="1"/>
      <c r="D26" s="33"/>
      <c r="E26" s="1"/>
      <c r="F26" s="1"/>
      <c r="G26" s="34"/>
      <c r="H26" s="34"/>
      <c r="I26" s="35"/>
      <c r="J26" s="1"/>
      <c r="K26" s="1"/>
      <c r="L26" s="1"/>
      <c r="M26" s="1"/>
      <c r="N26" s="1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87"/>
      <c r="AA26" s="1"/>
      <c r="AB26" s="2"/>
      <c r="AC26" s="2"/>
      <c r="AD26" s="2"/>
      <c r="AE26" s="2"/>
      <c r="AF26" s="2"/>
      <c r="AG26" s="2"/>
      <c r="AH26" s="2"/>
    </row>
    <row r="27" spans="2:41" ht="15.75" customHeight="1" thickBot="1" x14ac:dyDescent="0.25">
      <c r="B27" s="59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/>
      <c r="P27" s="61"/>
      <c r="Q27" s="61"/>
      <c r="R27" s="61"/>
      <c r="S27" s="61"/>
      <c r="T27" s="61"/>
      <c r="U27" s="61"/>
      <c r="V27" s="61"/>
      <c r="W27" s="60"/>
      <c r="X27" s="60"/>
      <c r="Y27" s="88"/>
      <c r="Z27" s="89"/>
      <c r="AA27" s="1"/>
      <c r="AB27" s="2"/>
      <c r="AC27" s="2"/>
      <c r="AD27" s="2"/>
      <c r="AE27" s="2"/>
      <c r="AF27" s="2"/>
      <c r="AG27" s="2"/>
      <c r="AH27" s="2"/>
    </row>
    <row r="28" spans="2:41" ht="15.75" customHeight="1" x14ac:dyDescent="0.2">
      <c r="B28" s="9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6"/>
      <c r="Z28" s="2"/>
      <c r="AA28" s="2"/>
      <c r="AB28" s="2"/>
      <c r="AC28" s="2"/>
      <c r="AD28" s="2"/>
      <c r="AE28" s="2"/>
      <c r="AF28" s="2"/>
      <c r="AG28" s="2"/>
      <c r="AH28" s="2"/>
    </row>
    <row r="29" spans="2:41" ht="15.75" customHeight="1" x14ac:dyDescent="0.2">
      <c r="B29" s="352" t="s">
        <v>158</v>
      </c>
      <c r="C29" s="352"/>
      <c r="D29" s="352"/>
      <c r="E29" s="352"/>
      <c r="F29" s="352"/>
      <c r="G29" s="352"/>
      <c r="H29" s="352"/>
      <c r="I29" s="352"/>
      <c r="J29" s="352"/>
      <c r="K29" s="352"/>
      <c r="L29" s="352"/>
      <c r="M29" s="352"/>
      <c r="N29" s="352"/>
      <c r="O29" s="352"/>
      <c r="P29" s="352"/>
      <c r="Q29" s="352"/>
      <c r="R29" s="352"/>
      <c r="S29" s="352"/>
      <c r="T29" s="352"/>
      <c r="U29" s="352"/>
      <c r="V29" s="352"/>
      <c r="W29" s="352"/>
      <c r="X29" s="352"/>
      <c r="Y29" s="352"/>
      <c r="Z29" s="352"/>
      <c r="AA29" s="2"/>
      <c r="AB29" s="2"/>
      <c r="AC29" s="2"/>
      <c r="AD29" s="2"/>
      <c r="AE29" s="2"/>
      <c r="AF29" s="2"/>
      <c r="AG29" s="2"/>
      <c r="AH29" s="2"/>
      <c r="AI29" s="2"/>
    </row>
    <row r="30" spans="2:41" ht="38.25" x14ac:dyDescent="0.2">
      <c r="B30" s="85" t="s">
        <v>159</v>
      </c>
      <c r="C30" s="13" t="s">
        <v>62</v>
      </c>
      <c r="D30" s="13" t="s">
        <v>63</v>
      </c>
      <c r="E30" s="13" t="s">
        <v>64</v>
      </c>
      <c r="F30" s="13" t="s">
        <v>65</v>
      </c>
      <c r="G30" s="97" t="s">
        <v>66</v>
      </c>
      <c r="H30" s="13" t="s">
        <v>67</v>
      </c>
      <c r="I30" s="13" t="s">
        <v>68</v>
      </c>
      <c r="J30" s="13" t="s">
        <v>21</v>
      </c>
      <c r="K30" s="13" t="s">
        <v>69</v>
      </c>
      <c r="L30" s="13" t="s">
        <v>70</v>
      </c>
      <c r="M30" s="13" t="s">
        <v>71</v>
      </c>
      <c r="N30" s="13" t="s">
        <v>72</v>
      </c>
      <c r="O30" s="13" t="s">
        <v>73</v>
      </c>
      <c r="P30" s="13" t="s">
        <v>74</v>
      </c>
      <c r="Q30" s="13" t="s">
        <v>75</v>
      </c>
      <c r="R30" s="13" t="s">
        <v>76</v>
      </c>
      <c r="S30" s="13" t="s">
        <v>77</v>
      </c>
      <c r="T30" s="13" t="s">
        <v>78</v>
      </c>
      <c r="U30" s="13" t="s">
        <v>79</v>
      </c>
      <c r="V30" s="13" t="s">
        <v>80</v>
      </c>
      <c r="W30" s="13" t="s">
        <v>81</v>
      </c>
      <c r="X30" s="14" t="s">
        <v>82</v>
      </c>
      <c r="Y30" s="14" t="s">
        <v>83</v>
      </c>
      <c r="Z30" s="15" t="s">
        <v>84</v>
      </c>
      <c r="AA30" s="2"/>
      <c r="AB30" s="2"/>
      <c r="AC30" s="2"/>
      <c r="AD30" s="2"/>
      <c r="AE30" s="2"/>
      <c r="AF30" s="2"/>
      <c r="AG30" s="2"/>
      <c r="AH30" s="2"/>
    </row>
    <row r="31" spans="2:41" ht="15.75" customHeight="1" x14ac:dyDescent="0.2">
      <c r="B31" s="314" t="s">
        <v>153</v>
      </c>
      <c r="C31" s="10" t="s">
        <v>160</v>
      </c>
      <c r="D31" s="12" t="str">
        <f>HYPERLINK("https://www.facebook.com/ZespriSG/videos/1632786393441483/","7 Apr")</f>
        <v>7 Apr</v>
      </c>
      <c r="E31" s="79">
        <v>3691</v>
      </c>
      <c r="F31" s="3">
        <v>56335</v>
      </c>
      <c r="G31" s="94">
        <v>59454</v>
      </c>
      <c r="H31" s="25">
        <f>E31/G31</f>
        <v>6.2081609311400408E-2</v>
      </c>
      <c r="I31" s="3">
        <f>3669</f>
        <v>3669</v>
      </c>
      <c r="J31" s="25">
        <f>I31/G31</f>
        <v>6.1711575335553534E-2</v>
      </c>
      <c r="K31" s="143">
        <v>1002</v>
      </c>
      <c r="L31" s="25">
        <f>K31/G31</f>
        <v>1.685336562720759E-2</v>
      </c>
      <c r="M31" s="25">
        <f>6303/G31</f>
        <v>0.10601473408012918</v>
      </c>
      <c r="N31" s="25">
        <f>2428/G31</f>
        <v>4.0838295152554917E-2</v>
      </c>
      <c r="O31" s="25">
        <f>1289/G31</f>
        <v>2.16806270393918E-2</v>
      </c>
      <c r="P31" s="25">
        <f>894/G31</f>
        <v>1.5036835200322939E-2</v>
      </c>
      <c r="Q31" s="3">
        <v>0</v>
      </c>
      <c r="R31" s="3" t="s">
        <v>34</v>
      </c>
      <c r="S31" s="3">
        <v>0</v>
      </c>
      <c r="T31" s="3">
        <v>22</v>
      </c>
      <c r="U31" s="3">
        <v>0</v>
      </c>
      <c r="V31" s="3">
        <v>42</v>
      </c>
      <c r="W31" s="22">
        <v>741.35</v>
      </c>
      <c r="X31" s="22">
        <v>741.35</v>
      </c>
      <c r="Y31" s="22">
        <f>W31-X31</f>
        <v>0</v>
      </c>
      <c r="Z31" s="10">
        <v>6</v>
      </c>
      <c r="AA31" s="11"/>
      <c r="AB31" s="11"/>
      <c r="AC31" s="11"/>
      <c r="AD31" s="11"/>
      <c r="AE31" s="11"/>
      <c r="AF31" s="11"/>
      <c r="AG31" s="11"/>
      <c r="AH31" s="11"/>
    </row>
    <row r="32" spans="2:41" ht="15.75" customHeight="1" x14ac:dyDescent="0.2">
      <c r="B32" s="359" t="s">
        <v>161</v>
      </c>
      <c r="C32" s="10" t="s">
        <v>162</v>
      </c>
      <c r="D32" s="12" t="str">
        <f>HYPERLINK("https://www.facebook.com/ZespriSG/videos/1632786930108096/","25 Apr")</f>
        <v>25 Apr</v>
      </c>
      <c r="E32" s="3">
        <v>6557</v>
      </c>
      <c r="F32" s="3">
        <v>149563</v>
      </c>
      <c r="G32" s="94">
        <v>154718</v>
      </c>
      <c r="H32" s="25">
        <f t="shared" ref="H32:H37" si="0">E32/G32</f>
        <v>4.2380330666115122E-2</v>
      </c>
      <c r="I32" s="3">
        <v>6494</v>
      </c>
      <c r="J32" s="25">
        <f>I32/G32</f>
        <v>4.1973138225675097E-2</v>
      </c>
      <c r="K32" s="3">
        <v>792</v>
      </c>
      <c r="L32" s="25">
        <f>K32/G32</f>
        <v>5.1189906798174744E-3</v>
      </c>
      <c r="M32" s="25">
        <v>0.27687793275507699</v>
      </c>
      <c r="N32" s="25">
        <v>9.1288667123411632E-2</v>
      </c>
      <c r="O32" s="25">
        <v>4.4183611473778098E-2</v>
      </c>
      <c r="P32" s="25">
        <v>2.7527501648159879E-2</v>
      </c>
      <c r="Q32" s="3">
        <v>6</v>
      </c>
      <c r="R32" s="3" t="s">
        <v>34</v>
      </c>
      <c r="S32" s="3">
        <v>1</v>
      </c>
      <c r="T32" s="3">
        <v>58</v>
      </c>
      <c r="U32" s="3">
        <v>4</v>
      </c>
      <c r="V32" s="3">
        <v>600</v>
      </c>
      <c r="W32" s="22">
        <v>741.35</v>
      </c>
      <c r="X32" s="22">
        <f>1.41*527.8625</f>
        <v>744.28612499999986</v>
      </c>
      <c r="Y32" s="22">
        <f t="shared" ref="Y32:Y37" si="1">W32-X32</f>
        <v>-2.9361249999998336</v>
      </c>
      <c r="Z32" s="10">
        <v>2</v>
      </c>
      <c r="AA32" s="2"/>
      <c r="AB32" s="2"/>
      <c r="AC32" s="2"/>
      <c r="AD32" s="2"/>
      <c r="AE32" s="2"/>
      <c r="AF32" s="2"/>
      <c r="AG32" s="2"/>
      <c r="AH32" s="2"/>
      <c r="AI32" s="2"/>
    </row>
    <row r="33" spans="2:35" ht="15.75" customHeight="1" x14ac:dyDescent="0.2">
      <c r="B33" s="359"/>
      <c r="C33" s="10" t="s">
        <v>163</v>
      </c>
      <c r="D33" s="12" t="str">
        <f>HYPERLINK("https://www.facebook.com/ZespriSG/posts/1690290847691037","30 Apr")</f>
        <v>30 Apr</v>
      </c>
      <c r="E33" s="69">
        <v>731</v>
      </c>
      <c r="F33" s="69">
        <v>178655</v>
      </c>
      <c r="G33" s="95">
        <v>184416</v>
      </c>
      <c r="H33" s="27">
        <f t="shared" si="0"/>
        <v>3.9638643067846611E-3</v>
      </c>
      <c r="I33" s="69" t="s">
        <v>34</v>
      </c>
      <c r="J33" s="25" t="s">
        <v>34</v>
      </c>
      <c r="K33" s="69" t="s">
        <v>34</v>
      </c>
      <c r="L33" s="25" t="s">
        <v>34</v>
      </c>
      <c r="M33" s="69" t="s">
        <v>34</v>
      </c>
      <c r="N33" s="69" t="s">
        <v>34</v>
      </c>
      <c r="O33" s="69" t="s">
        <v>34</v>
      </c>
      <c r="P33" s="69" t="s">
        <v>34</v>
      </c>
      <c r="Q33" s="69">
        <v>34</v>
      </c>
      <c r="R33" s="69">
        <v>468</v>
      </c>
      <c r="S33" s="69">
        <v>0</v>
      </c>
      <c r="T33" s="69">
        <v>258</v>
      </c>
      <c r="U33" s="69">
        <v>5</v>
      </c>
      <c r="V33" s="69">
        <v>1036</v>
      </c>
      <c r="W33" s="70">
        <v>741.35</v>
      </c>
      <c r="X33" s="70">
        <f>1.41*525.7625</f>
        <v>741.32512500000007</v>
      </c>
      <c r="Y33" s="70">
        <f t="shared" si="1"/>
        <v>2.4874999999951797E-2</v>
      </c>
      <c r="Z33" s="71">
        <v>4</v>
      </c>
      <c r="AA33" s="2"/>
      <c r="AB33" s="2"/>
      <c r="AC33" s="2"/>
      <c r="AD33" s="2"/>
      <c r="AE33" s="2"/>
      <c r="AF33" s="2"/>
      <c r="AG33" s="2"/>
      <c r="AH33" s="2"/>
      <c r="AI33" s="2"/>
    </row>
    <row r="34" spans="2:35" ht="15.75" customHeight="1" x14ac:dyDescent="0.2">
      <c r="B34" s="359"/>
      <c r="C34" s="10" t="s">
        <v>164</v>
      </c>
      <c r="D34" s="80" t="str">
        <f>HYPERLINK("https://www.facebook.com/ZespriSG/videos/1703873386332783/","8 May")</f>
        <v>8 May</v>
      </c>
      <c r="E34" s="81">
        <v>4697</v>
      </c>
      <c r="F34" s="81">
        <v>162336</v>
      </c>
      <c r="G34" s="96">
        <v>169681</v>
      </c>
      <c r="H34" s="25">
        <f t="shared" si="0"/>
        <v>2.7681355013230709E-2</v>
      </c>
      <c r="I34" s="81">
        <v>4650</v>
      </c>
      <c r="J34" s="25">
        <f t="shared" ref="J34:J37" si="2">I34/G34</f>
        <v>2.7404364660745754E-2</v>
      </c>
      <c r="K34" s="81">
        <v>3024</v>
      </c>
      <c r="L34" s="25">
        <f t="shared" ref="L34:L37" si="3">K34/G34</f>
        <v>1.7821677147117236E-2</v>
      </c>
      <c r="M34" s="83">
        <v>0.11252730173494799</v>
      </c>
      <c r="N34" s="83">
        <v>3.7660204520166489E-2</v>
      </c>
      <c r="O34" s="83">
        <v>2.3531004762717751E-2</v>
      </c>
      <c r="P34" s="83">
        <v>1.6584148215305454E-2</v>
      </c>
      <c r="Q34" s="82">
        <v>3</v>
      </c>
      <c r="R34" s="82" t="s">
        <v>34</v>
      </c>
      <c r="S34" s="82">
        <v>2</v>
      </c>
      <c r="T34" s="82">
        <v>42</v>
      </c>
      <c r="U34" s="82">
        <v>3</v>
      </c>
      <c r="V34" s="82">
        <v>580</v>
      </c>
      <c r="W34" s="70">
        <v>741.35</v>
      </c>
      <c r="X34" s="76">
        <f>1.41*525.775</f>
        <v>741.34274999999991</v>
      </c>
      <c r="Y34" s="22">
        <f t="shared" si="1"/>
        <v>7.2500000001127773E-3</v>
      </c>
      <c r="Z34" s="82">
        <v>2</v>
      </c>
      <c r="AA34" s="2"/>
      <c r="AB34" s="2"/>
      <c r="AC34" s="2"/>
      <c r="AD34" s="2"/>
      <c r="AE34" s="2"/>
      <c r="AF34" s="2"/>
      <c r="AG34" s="2"/>
      <c r="AH34" s="2"/>
      <c r="AI34" s="2"/>
    </row>
    <row r="35" spans="2:35" ht="15.75" customHeight="1" x14ac:dyDescent="0.2">
      <c r="B35" s="359"/>
      <c r="C35" s="10" t="s">
        <v>165</v>
      </c>
      <c r="D35" s="80" t="str">
        <f>HYPERLINK("https://www.facebook.com/ZespriSG/videos/1711261248927330/","11 May")</f>
        <v>11 May</v>
      </c>
      <c r="E35" s="3">
        <v>7023</v>
      </c>
      <c r="F35" s="3">
        <v>163840</v>
      </c>
      <c r="G35" s="94">
        <v>169066</v>
      </c>
      <c r="H35" s="25">
        <f t="shared" si="0"/>
        <v>4.1539990299646293E-2</v>
      </c>
      <c r="I35" s="3">
        <v>6876</v>
      </c>
      <c r="J35" s="25">
        <f t="shared" si="2"/>
        <v>4.0670507375817726E-2</v>
      </c>
      <c r="K35" s="3">
        <v>5075</v>
      </c>
      <c r="L35" s="25">
        <f t="shared" si="3"/>
        <v>3.0017862846462327E-2</v>
      </c>
      <c r="M35" s="25">
        <v>0.10197792578046444</v>
      </c>
      <c r="N35" s="25">
        <v>4.7159097630511161E-2</v>
      </c>
      <c r="O35" s="25">
        <v>3.4915358499047706E-2</v>
      </c>
      <c r="P35" s="25">
        <v>2.917795417174358E-2</v>
      </c>
      <c r="Q35" s="3">
        <v>20</v>
      </c>
      <c r="R35" s="3" t="s">
        <v>34</v>
      </c>
      <c r="S35" s="3">
        <v>12</v>
      </c>
      <c r="T35" s="3">
        <v>100</v>
      </c>
      <c r="U35" s="3">
        <v>35</v>
      </c>
      <c r="V35" s="3">
        <v>1607</v>
      </c>
      <c r="W35" s="70">
        <v>741.35</v>
      </c>
      <c r="X35" s="22">
        <f>1.41*525.775</f>
        <v>741.34274999999991</v>
      </c>
      <c r="Y35" s="22">
        <f t="shared" si="1"/>
        <v>7.2500000001127773E-3</v>
      </c>
      <c r="Z35" s="10">
        <v>3</v>
      </c>
      <c r="AA35" s="2"/>
      <c r="AB35" s="2"/>
      <c r="AC35" s="2"/>
      <c r="AD35" s="2"/>
      <c r="AE35" s="2"/>
      <c r="AF35" s="2"/>
      <c r="AG35" s="2"/>
      <c r="AH35" s="2"/>
      <c r="AI35" s="2"/>
    </row>
    <row r="36" spans="2:35" ht="15.75" customHeight="1" x14ac:dyDescent="0.2">
      <c r="B36" s="359"/>
      <c r="C36" s="68">
        <v>43233</v>
      </c>
      <c r="D36" s="80" t="str">
        <f>HYPERLINK("https://www.facebook.com/ZespriSG/posts/1711316652255123","13 May")</f>
        <v>13 May</v>
      </c>
      <c r="E36" s="3">
        <v>256</v>
      </c>
      <c r="F36" s="3">
        <v>170176</v>
      </c>
      <c r="G36" s="94">
        <v>176776</v>
      </c>
      <c r="H36" s="27">
        <f t="shared" si="0"/>
        <v>1.4481603837625018E-3</v>
      </c>
      <c r="I36" s="69" t="s">
        <v>34</v>
      </c>
      <c r="J36" s="25" t="s">
        <v>34</v>
      </c>
      <c r="K36" s="69" t="s">
        <v>34</v>
      </c>
      <c r="L36" s="25" t="s">
        <v>34</v>
      </c>
      <c r="M36" s="69" t="s">
        <v>34</v>
      </c>
      <c r="N36" s="69" t="s">
        <v>34</v>
      </c>
      <c r="O36" s="69" t="s">
        <v>34</v>
      </c>
      <c r="P36" s="69" t="s">
        <v>34</v>
      </c>
      <c r="Q36" s="3">
        <v>12</v>
      </c>
      <c r="R36" s="3">
        <v>166</v>
      </c>
      <c r="S36" s="3">
        <v>0</v>
      </c>
      <c r="T36" s="3">
        <v>88</v>
      </c>
      <c r="U36" s="3">
        <v>2</v>
      </c>
      <c r="V36" s="3">
        <v>442</v>
      </c>
      <c r="W36" s="70">
        <v>741.35</v>
      </c>
      <c r="X36" s="22">
        <f>1.41*525.775</f>
        <v>741.34274999999991</v>
      </c>
      <c r="Y36" s="22">
        <f t="shared" si="1"/>
        <v>7.2500000001127773E-3</v>
      </c>
      <c r="Z36" s="10">
        <v>3</v>
      </c>
      <c r="AA36" s="2"/>
      <c r="AB36" s="2"/>
      <c r="AC36" s="2"/>
      <c r="AD36" s="2"/>
      <c r="AE36" s="2"/>
      <c r="AF36" s="2"/>
      <c r="AG36" s="2"/>
      <c r="AH36" s="2"/>
      <c r="AI36" s="2"/>
    </row>
    <row r="37" spans="2:35" ht="15.75" customHeight="1" x14ac:dyDescent="0.2">
      <c r="B37" s="359"/>
      <c r="C37" s="10" t="s">
        <v>166</v>
      </c>
      <c r="D37" s="80" t="str">
        <f>HYPERLINK("https://www.facebook.com/ZespriSG/videos/1722079041178884/","23 May")</f>
        <v>23 May</v>
      </c>
      <c r="E37" s="3">
        <v>2677</v>
      </c>
      <c r="F37" s="3">
        <v>141152</v>
      </c>
      <c r="G37" s="94">
        <v>143878</v>
      </c>
      <c r="H37" s="25">
        <f t="shared" si="0"/>
        <v>1.8606041229374887E-2</v>
      </c>
      <c r="I37" s="3">
        <v>2629</v>
      </c>
      <c r="J37" s="25">
        <f t="shared" si="2"/>
        <v>1.8272425249169437E-2</v>
      </c>
      <c r="K37" s="3">
        <v>772</v>
      </c>
      <c r="L37" s="25">
        <f t="shared" si="3"/>
        <v>5.3656570149710169E-3</v>
      </c>
      <c r="M37" s="25">
        <v>2.1532131389093538E-2</v>
      </c>
      <c r="N37" s="25">
        <v>1.0251741058396697E-2</v>
      </c>
      <c r="O37" s="25">
        <v>6.7348726003975592E-3</v>
      </c>
      <c r="P37" s="25">
        <v>5.2544516882358661E-3</v>
      </c>
      <c r="Q37" s="3">
        <v>9</v>
      </c>
      <c r="R37" s="3" t="s">
        <v>34</v>
      </c>
      <c r="S37" s="3">
        <v>0</v>
      </c>
      <c r="T37" s="3">
        <v>46</v>
      </c>
      <c r="U37" s="3">
        <v>2</v>
      </c>
      <c r="V37" s="3">
        <v>546</v>
      </c>
      <c r="W37" s="22">
        <v>741.35</v>
      </c>
      <c r="X37" s="22">
        <f>1.41*525.775</f>
        <v>741.34274999999991</v>
      </c>
      <c r="Y37" s="22">
        <f t="shared" si="1"/>
        <v>7.2500000001127773E-3</v>
      </c>
      <c r="Z37" s="10">
        <v>3</v>
      </c>
      <c r="AA37" s="2"/>
      <c r="AB37" s="2"/>
      <c r="AC37" s="2"/>
      <c r="AD37" s="2"/>
      <c r="AE37" s="2"/>
      <c r="AF37" s="2"/>
      <c r="AG37" s="2"/>
      <c r="AH37" s="2"/>
      <c r="AI37" s="2"/>
    </row>
    <row r="38" spans="2:35" ht="15.75" customHeight="1" x14ac:dyDescent="0.2">
      <c r="B38" s="359"/>
      <c r="C38" s="10" t="s">
        <v>167</v>
      </c>
      <c r="D38" s="80" t="str">
        <f>HYPERLINK("https://www.facebook.com/ZespriSG/posts/1703874079666047","12 Jun")</f>
        <v>12 Jun</v>
      </c>
      <c r="E38" s="3">
        <v>147</v>
      </c>
      <c r="F38" s="3">
        <v>183936</v>
      </c>
      <c r="G38" s="94">
        <v>187600</v>
      </c>
      <c r="H38" s="25">
        <f t="shared" ref="H38:H52" si="4">E38/G38</f>
        <v>7.8358208955223879E-4</v>
      </c>
      <c r="I38" s="3" t="s">
        <v>34</v>
      </c>
      <c r="J38" s="25" t="s">
        <v>34</v>
      </c>
      <c r="K38" s="3" t="s">
        <v>34</v>
      </c>
      <c r="L38" s="25" t="s">
        <v>34</v>
      </c>
      <c r="M38" s="3" t="s">
        <v>34</v>
      </c>
      <c r="N38" s="25" t="s">
        <v>34</v>
      </c>
      <c r="O38" s="3" t="s">
        <v>34</v>
      </c>
      <c r="P38" s="25" t="s">
        <v>34</v>
      </c>
      <c r="Q38" s="3">
        <v>11</v>
      </c>
      <c r="R38" s="3">
        <v>118</v>
      </c>
      <c r="S38" s="3">
        <v>0</v>
      </c>
      <c r="T38" s="3">
        <v>28</v>
      </c>
      <c r="U38" s="3">
        <v>1</v>
      </c>
      <c r="V38" s="3">
        <v>270</v>
      </c>
      <c r="W38" s="70">
        <v>741.35</v>
      </c>
      <c r="X38" s="22">
        <v>741.34274999999991</v>
      </c>
      <c r="Y38" s="22">
        <f t="shared" ref="Y38:Y61" si="5">W38-X38</f>
        <v>7.2500000001127773E-3</v>
      </c>
      <c r="Z38" s="10">
        <v>5</v>
      </c>
      <c r="AA38" s="2"/>
      <c r="AB38" s="2"/>
      <c r="AC38" s="2"/>
      <c r="AD38" s="2"/>
      <c r="AE38" s="2"/>
      <c r="AF38" s="2"/>
      <c r="AG38" s="2"/>
      <c r="AH38" s="2"/>
      <c r="AI38" s="2"/>
    </row>
    <row r="39" spans="2:35" ht="15.75" customHeight="1" x14ac:dyDescent="0.2">
      <c r="B39" s="359"/>
      <c r="C39" s="10" t="s">
        <v>168</v>
      </c>
      <c r="D39" s="80" t="str">
        <f>HYPERLINK("https://www.facebook.com/ZespriSG/videos/1703874359666019/","15 Jun")</f>
        <v>15 Jun</v>
      </c>
      <c r="E39" s="3">
        <v>14463</v>
      </c>
      <c r="F39" s="3">
        <v>160704</v>
      </c>
      <c r="G39" s="94">
        <v>163596</v>
      </c>
      <c r="H39" s="25">
        <f t="shared" si="4"/>
        <v>8.8406807012396393E-2</v>
      </c>
      <c r="I39" s="3">
        <v>14362</v>
      </c>
      <c r="J39" s="25">
        <f t="shared" ref="J39" si="6">I39/G39</f>
        <v>8.7789432504462209E-2</v>
      </c>
      <c r="K39" s="3">
        <v>14362</v>
      </c>
      <c r="L39" s="25">
        <f t="shared" ref="L39" si="7">K39/G39</f>
        <v>8.7789432504462209E-2</v>
      </c>
      <c r="M39" s="25">
        <v>0.35826059316853714</v>
      </c>
      <c r="N39" s="25">
        <v>0.2113682486124355</v>
      </c>
      <c r="O39" s="25">
        <v>0.13121958972102007</v>
      </c>
      <c r="P39" s="25">
        <v>8.2110809555245856E-2</v>
      </c>
      <c r="Q39" s="3">
        <v>14</v>
      </c>
      <c r="R39" s="3" t="s">
        <v>34</v>
      </c>
      <c r="S39" s="3">
        <v>1</v>
      </c>
      <c r="T39" s="3">
        <v>93</v>
      </c>
      <c r="U39" s="3">
        <v>7</v>
      </c>
      <c r="V39" s="3">
        <v>845</v>
      </c>
      <c r="W39" s="70">
        <v>741.35</v>
      </c>
      <c r="X39" s="22">
        <v>741.34274999999991</v>
      </c>
      <c r="Y39" s="22">
        <f t="shared" si="5"/>
        <v>7.2500000001127773E-3</v>
      </c>
      <c r="Z39" s="10">
        <v>4</v>
      </c>
      <c r="AA39" s="2"/>
      <c r="AB39" s="2"/>
      <c r="AC39" s="2"/>
      <c r="AD39" s="2"/>
      <c r="AE39" s="2"/>
      <c r="AF39" s="2"/>
      <c r="AG39" s="2"/>
      <c r="AH39" s="2"/>
      <c r="AI39" s="2"/>
    </row>
    <row r="40" spans="2:35" ht="15.75" customHeight="1" x14ac:dyDescent="0.2">
      <c r="B40" s="359"/>
      <c r="C40" s="10" t="s">
        <v>169</v>
      </c>
      <c r="D40" s="80" t="str">
        <f>HYPERLINK("https://www.facebook.com/ZespriSG/posts/1703874079666047","17 Jun")</f>
        <v>17 Jun</v>
      </c>
      <c r="E40" s="3">
        <v>245</v>
      </c>
      <c r="F40" s="3">
        <v>153472</v>
      </c>
      <c r="G40" s="94">
        <v>157793</v>
      </c>
      <c r="H40" s="27">
        <f t="shared" si="4"/>
        <v>1.5526671018359496E-3</v>
      </c>
      <c r="I40" s="3" t="s">
        <v>34</v>
      </c>
      <c r="J40" s="25" t="s">
        <v>34</v>
      </c>
      <c r="K40" s="3" t="s">
        <v>34</v>
      </c>
      <c r="L40" s="25" t="s">
        <v>34</v>
      </c>
      <c r="M40" s="3" t="s">
        <v>34</v>
      </c>
      <c r="N40" s="25" t="s">
        <v>34</v>
      </c>
      <c r="O40" s="3" t="s">
        <v>34</v>
      </c>
      <c r="P40" s="25" t="s">
        <v>34</v>
      </c>
      <c r="Q40" s="3">
        <v>12</v>
      </c>
      <c r="R40" s="3">
        <v>177</v>
      </c>
      <c r="S40" s="3">
        <v>0</v>
      </c>
      <c r="T40" s="3">
        <v>44</v>
      </c>
      <c r="U40" s="3">
        <v>2</v>
      </c>
      <c r="V40" s="3">
        <v>440</v>
      </c>
      <c r="W40" s="22">
        <v>741.35</v>
      </c>
      <c r="X40" s="22">
        <v>741.34274999999991</v>
      </c>
      <c r="Y40" s="22">
        <f t="shared" si="5"/>
        <v>7.2500000001127773E-3</v>
      </c>
      <c r="Z40" s="10">
        <v>4</v>
      </c>
      <c r="AA40" s="2"/>
      <c r="AB40" s="2"/>
      <c r="AC40" s="2"/>
      <c r="AD40" s="2"/>
      <c r="AE40" s="2"/>
      <c r="AF40" s="2"/>
      <c r="AG40" s="2"/>
      <c r="AH40" s="2"/>
      <c r="AI40" s="2"/>
    </row>
    <row r="41" spans="2:35" ht="15.75" customHeight="1" x14ac:dyDescent="0.2">
      <c r="B41" s="359"/>
      <c r="C41" s="10" t="s">
        <v>170</v>
      </c>
      <c r="D41" s="80" t="str">
        <f>HYPERLINK("https://www.facebook.com/ZespriSG/posts/1704924196227702","22 Jun")</f>
        <v>22 Jun</v>
      </c>
      <c r="E41" s="3">
        <v>187</v>
      </c>
      <c r="F41" s="3">
        <v>146166</v>
      </c>
      <c r="G41" s="94">
        <v>155203</v>
      </c>
      <c r="H41" s="27">
        <f t="shared" si="4"/>
        <v>1.2048736171336894E-3</v>
      </c>
      <c r="I41" s="3" t="s">
        <v>34</v>
      </c>
      <c r="J41" s="25" t="s">
        <v>34</v>
      </c>
      <c r="K41" s="3" t="s">
        <v>34</v>
      </c>
      <c r="L41" s="25" t="s">
        <v>34</v>
      </c>
      <c r="M41" s="3" t="s">
        <v>34</v>
      </c>
      <c r="N41" s="25" t="s">
        <v>34</v>
      </c>
      <c r="O41" s="3" t="s">
        <v>34</v>
      </c>
      <c r="P41" s="25" t="s">
        <v>34</v>
      </c>
      <c r="Q41" s="3">
        <v>6</v>
      </c>
      <c r="R41" s="3">
        <v>149</v>
      </c>
      <c r="S41" s="3">
        <v>1</v>
      </c>
      <c r="T41" s="3">
        <v>36</v>
      </c>
      <c r="U41" s="3">
        <v>1</v>
      </c>
      <c r="V41" s="3">
        <v>330</v>
      </c>
      <c r="W41" s="22">
        <v>741.35</v>
      </c>
      <c r="X41" s="22">
        <v>741.34274999999991</v>
      </c>
      <c r="Y41" s="22">
        <f t="shared" si="5"/>
        <v>7.2500000001127773E-3</v>
      </c>
      <c r="Z41" s="10">
        <v>4</v>
      </c>
      <c r="AA41" s="2"/>
      <c r="AB41" s="2"/>
      <c r="AC41" s="2"/>
      <c r="AD41" s="2"/>
      <c r="AE41" s="2"/>
      <c r="AF41" s="2"/>
      <c r="AG41" s="2"/>
      <c r="AH41" s="2"/>
      <c r="AI41" s="2"/>
    </row>
    <row r="42" spans="2:35" ht="15.75" customHeight="1" x14ac:dyDescent="0.2">
      <c r="B42" s="359"/>
      <c r="C42" s="10" t="s">
        <v>171</v>
      </c>
      <c r="D42" s="80" t="str">
        <f>HYPERLINK("https://www.facebook.com/ZespriSG/videos/1777842755602512/","6 Jul")</f>
        <v>6 Jul</v>
      </c>
      <c r="E42" s="3">
        <v>7801</v>
      </c>
      <c r="F42" s="3">
        <v>158593</v>
      </c>
      <c r="G42" s="94">
        <v>161528</v>
      </c>
      <c r="H42" s="27">
        <f t="shared" si="4"/>
        <v>4.8295032440196124E-2</v>
      </c>
      <c r="I42" s="3">
        <v>7765</v>
      </c>
      <c r="J42" s="25">
        <f t="shared" ref="J42:J44" si="8">I42/G42</f>
        <v>4.8072160863751177E-2</v>
      </c>
      <c r="K42" s="3">
        <v>7765</v>
      </c>
      <c r="L42" s="25">
        <f t="shared" ref="L42:L44" si="9">K42/G42</f>
        <v>4.8072160863751177E-2</v>
      </c>
      <c r="M42" s="25">
        <v>0.28970209499281857</v>
      </c>
      <c r="N42" s="25">
        <v>0.12533430736466741</v>
      </c>
      <c r="O42" s="25">
        <v>6.5895696102223761E-2</v>
      </c>
      <c r="P42" s="25">
        <v>4.5286266158189294E-2</v>
      </c>
      <c r="Q42" s="3">
        <v>20</v>
      </c>
      <c r="R42" s="3" t="s">
        <v>34</v>
      </c>
      <c r="S42" s="3">
        <v>0</v>
      </c>
      <c r="T42" s="3">
        <v>35</v>
      </c>
      <c r="U42" s="3">
        <v>1</v>
      </c>
      <c r="V42" s="3">
        <v>562</v>
      </c>
      <c r="W42" s="22">
        <v>741.35</v>
      </c>
      <c r="X42" s="22">
        <v>741.34274999999991</v>
      </c>
      <c r="Y42" s="22">
        <f t="shared" si="5"/>
        <v>7.2500000001127773E-3</v>
      </c>
      <c r="Z42" s="10">
        <v>4</v>
      </c>
      <c r="AA42" s="2"/>
      <c r="AB42" s="2"/>
      <c r="AC42" s="2"/>
      <c r="AD42" s="2"/>
      <c r="AE42" s="2"/>
      <c r="AF42" s="2"/>
      <c r="AG42" s="2"/>
      <c r="AH42" s="2"/>
      <c r="AI42" s="2"/>
    </row>
    <row r="43" spans="2:35" ht="15.75" customHeight="1" x14ac:dyDescent="0.2">
      <c r="B43" s="359"/>
      <c r="C43" s="10" t="s">
        <v>172</v>
      </c>
      <c r="D43" s="80" t="str">
        <f>HYPERLINK("https://www.facebook.com/ZespriSG/videos/1791749324211855/","12 Jul")</f>
        <v>12 Jul</v>
      </c>
      <c r="E43" s="3" t="s">
        <v>34</v>
      </c>
      <c r="F43" s="3" t="s">
        <v>34</v>
      </c>
      <c r="G43" s="94" t="s">
        <v>34</v>
      </c>
      <c r="H43" s="3" t="s">
        <v>34</v>
      </c>
      <c r="I43" s="3" t="s">
        <v>34</v>
      </c>
      <c r="J43" s="3" t="s">
        <v>34</v>
      </c>
      <c r="K43" s="3" t="s">
        <v>34</v>
      </c>
      <c r="L43" s="3" t="s">
        <v>34</v>
      </c>
      <c r="M43" s="3" t="s">
        <v>34</v>
      </c>
      <c r="N43" s="3" t="s">
        <v>34</v>
      </c>
      <c r="O43" s="3" t="s">
        <v>34</v>
      </c>
      <c r="P43" s="3" t="s">
        <v>34</v>
      </c>
      <c r="Q43" s="3" t="s">
        <v>34</v>
      </c>
      <c r="R43" s="3" t="s">
        <v>34</v>
      </c>
      <c r="S43" s="3" t="s">
        <v>34</v>
      </c>
      <c r="T43" s="3" t="s">
        <v>34</v>
      </c>
      <c r="U43" s="3" t="s">
        <v>34</v>
      </c>
      <c r="V43" s="3" t="s">
        <v>34</v>
      </c>
      <c r="W43" s="22">
        <v>741.35</v>
      </c>
      <c r="X43" s="22" t="s">
        <v>34</v>
      </c>
      <c r="Y43" s="22" t="s">
        <v>34</v>
      </c>
      <c r="Z43" s="10" t="s">
        <v>34</v>
      </c>
      <c r="AA43" s="2"/>
      <c r="AB43" s="2"/>
      <c r="AC43" s="2"/>
      <c r="AD43" s="2"/>
      <c r="AE43" s="2"/>
      <c r="AF43" s="2"/>
      <c r="AG43" s="2"/>
      <c r="AH43" s="2"/>
      <c r="AI43" s="2"/>
    </row>
    <row r="44" spans="2:35" ht="15.75" customHeight="1" x14ac:dyDescent="0.2">
      <c r="B44" s="359"/>
      <c r="C44" s="10" t="s">
        <v>97</v>
      </c>
      <c r="D44" s="80" t="str">
        <f>HYPERLINK("https://www.facebook.com/ZespriSG/videos/1788741314512656/","16 Jul")</f>
        <v>16 Jul</v>
      </c>
      <c r="E44" s="3">
        <v>6814</v>
      </c>
      <c r="F44" s="3">
        <v>167488</v>
      </c>
      <c r="G44" s="94">
        <v>169051</v>
      </c>
      <c r="H44" s="29">
        <f t="shared" si="4"/>
        <v>4.0307362866827172E-2</v>
      </c>
      <c r="I44" s="3">
        <v>6766</v>
      </c>
      <c r="J44" s="25">
        <f t="shared" si="8"/>
        <v>4.0023424883615003E-2</v>
      </c>
      <c r="K44" s="3">
        <v>2726</v>
      </c>
      <c r="L44" s="25">
        <f t="shared" si="9"/>
        <v>1.612531129659097E-2</v>
      </c>
      <c r="M44" s="25">
        <v>4.2436897740918418E-2</v>
      </c>
      <c r="N44" s="25">
        <v>2.5347380376336135E-2</v>
      </c>
      <c r="O44" s="25">
        <v>1.9733689833245589E-2</v>
      </c>
      <c r="P44" s="25">
        <v>1.5723065820373732E-2</v>
      </c>
      <c r="Q44" s="3">
        <v>9</v>
      </c>
      <c r="R44" s="3" t="s">
        <v>34</v>
      </c>
      <c r="S44" s="3">
        <v>0</v>
      </c>
      <c r="T44" s="3">
        <v>48</v>
      </c>
      <c r="U44" s="3">
        <v>0</v>
      </c>
      <c r="V44" s="3">
        <v>803</v>
      </c>
      <c r="W44" s="22">
        <v>741.35</v>
      </c>
      <c r="X44" s="22">
        <v>741.34274999999991</v>
      </c>
      <c r="Y44" s="22">
        <f t="shared" si="5"/>
        <v>7.2500000001127773E-3</v>
      </c>
      <c r="Z44" s="10">
        <v>4</v>
      </c>
      <c r="AA44" s="2"/>
      <c r="AB44" s="2"/>
      <c r="AC44" s="2"/>
      <c r="AD44" s="2"/>
      <c r="AE44" s="2"/>
      <c r="AF44" s="2"/>
      <c r="AG44" s="2"/>
      <c r="AH44" s="2"/>
      <c r="AI44" s="2"/>
    </row>
    <row r="45" spans="2:35" ht="15.75" customHeight="1" x14ac:dyDescent="0.2">
      <c r="B45" s="359"/>
      <c r="C45" s="10" t="s">
        <v>173</v>
      </c>
      <c r="D45" s="80" t="str">
        <f>HYPERLINK("https://www.facebook.com/483467011706766/posts/1801165416603579/","18 Jul")</f>
        <v>18 Jul</v>
      </c>
      <c r="E45" s="3">
        <v>153</v>
      </c>
      <c r="F45" s="3">
        <v>187679</v>
      </c>
      <c r="G45" s="94">
        <v>193988</v>
      </c>
      <c r="H45" s="27">
        <f t="shared" si="4"/>
        <v>7.8870857991215947E-4</v>
      </c>
      <c r="I45" s="3" t="s">
        <v>34</v>
      </c>
      <c r="J45" s="25" t="s">
        <v>34</v>
      </c>
      <c r="K45" s="3" t="s">
        <v>34</v>
      </c>
      <c r="L45" s="25" t="s">
        <v>34</v>
      </c>
      <c r="M45" s="3" t="s">
        <v>34</v>
      </c>
      <c r="N45" s="25" t="s">
        <v>34</v>
      </c>
      <c r="O45" s="3" t="s">
        <v>34</v>
      </c>
      <c r="P45" s="25" t="s">
        <v>34</v>
      </c>
      <c r="Q45" s="3">
        <v>9</v>
      </c>
      <c r="R45" s="3">
        <v>134</v>
      </c>
      <c r="S45" s="3">
        <v>1</v>
      </c>
      <c r="T45" s="3">
        <v>15</v>
      </c>
      <c r="U45" s="3">
        <v>3</v>
      </c>
      <c r="V45" s="3">
        <v>294</v>
      </c>
      <c r="W45" s="22">
        <v>741.35</v>
      </c>
      <c r="X45" s="22">
        <v>741.34274999999991</v>
      </c>
      <c r="Y45" s="22">
        <f t="shared" si="5"/>
        <v>7.2500000001127773E-3</v>
      </c>
      <c r="Z45" s="10">
        <v>5</v>
      </c>
      <c r="AA45" s="2"/>
      <c r="AB45" s="2"/>
      <c r="AC45" s="2"/>
      <c r="AD45" s="2"/>
      <c r="AE45" s="2"/>
      <c r="AF45" s="2"/>
      <c r="AG45" s="2"/>
      <c r="AH45" s="2"/>
      <c r="AI45" s="2"/>
    </row>
    <row r="46" spans="2:35" ht="15.75" customHeight="1" x14ac:dyDescent="0.2">
      <c r="B46" s="359"/>
      <c r="C46" s="10" t="s">
        <v>174</v>
      </c>
      <c r="D46" s="80" t="str">
        <f>HYPERLINK("https://www.facebook.com/483467011706766/posts/1813289245391196/","1 Aug")</f>
        <v>1 Aug</v>
      </c>
      <c r="E46" s="3">
        <v>134</v>
      </c>
      <c r="F46" s="3">
        <v>198976</v>
      </c>
      <c r="G46" s="94">
        <v>201916</v>
      </c>
      <c r="H46" s="27">
        <f t="shared" si="4"/>
        <v>6.6364230670179676E-4</v>
      </c>
      <c r="I46" s="3" t="s">
        <v>34</v>
      </c>
      <c r="J46" s="25" t="s">
        <v>34</v>
      </c>
      <c r="K46" s="3" t="s">
        <v>34</v>
      </c>
      <c r="L46" s="25" t="s">
        <v>34</v>
      </c>
      <c r="M46" s="3" t="s">
        <v>34</v>
      </c>
      <c r="N46" s="25" t="s">
        <v>34</v>
      </c>
      <c r="O46" s="3" t="s">
        <v>34</v>
      </c>
      <c r="P46" s="25" t="s">
        <v>34</v>
      </c>
      <c r="Q46" s="3">
        <v>8</v>
      </c>
      <c r="R46" s="3">
        <v>107</v>
      </c>
      <c r="S46" s="3">
        <v>0</v>
      </c>
      <c r="T46" s="3">
        <v>26</v>
      </c>
      <c r="U46" s="3">
        <v>1</v>
      </c>
      <c r="V46" s="3">
        <v>256</v>
      </c>
      <c r="W46" s="22">
        <v>741.35</v>
      </c>
      <c r="X46" s="22">
        <v>741.13124999999991</v>
      </c>
      <c r="Y46" s="22">
        <f t="shared" si="5"/>
        <v>0.21875000000011369</v>
      </c>
      <c r="Z46" s="10">
        <v>5</v>
      </c>
      <c r="AA46" s="2"/>
      <c r="AB46" s="2"/>
      <c r="AC46" s="2"/>
      <c r="AD46" s="2"/>
      <c r="AE46" s="2"/>
      <c r="AF46" s="2"/>
      <c r="AG46" s="2"/>
      <c r="AH46" s="2"/>
      <c r="AI46" s="2"/>
    </row>
    <row r="47" spans="2:35" ht="15.75" customHeight="1" x14ac:dyDescent="0.2">
      <c r="B47" s="359"/>
      <c r="C47" s="10" t="s">
        <v>100</v>
      </c>
      <c r="D47" s="80" t="str">
        <f>HYPERLINK("https://www.facebook.com/ZespriSG/videos/1811508552235932/","2 Aug")</f>
        <v>2 Aug</v>
      </c>
      <c r="E47" s="3">
        <v>5570</v>
      </c>
      <c r="F47" s="3">
        <v>155008</v>
      </c>
      <c r="G47" s="94">
        <v>157970</v>
      </c>
      <c r="H47" s="27">
        <f t="shared" si="4"/>
        <v>3.5259859466987405E-2</v>
      </c>
      <c r="I47" s="3">
        <v>5532</v>
      </c>
      <c r="J47" s="25">
        <f t="shared" ref="J47:J49" si="10">I47/G47</f>
        <v>3.5019307463442423E-2</v>
      </c>
      <c r="K47" s="3">
        <v>2250</v>
      </c>
      <c r="L47" s="25">
        <f t="shared" ref="L47:L49" si="11">K47/G47</f>
        <v>1.4243210736215737E-2</v>
      </c>
      <c r="M47" s="25">
        <v>4.923719693612711E-2</v>
      </c>
      <c r="N47" s="25">
        <v>2.360574792682155E-2</v>
      </c>
      <c r="O47" s="25">
        <v>1.7060201304045071E-2</v>
      </c>
      <c r="P47" s="25">
        <v>1.3521554725580807E-2</v>
      </c>
      <c r="Q47" s="3">
        <v>13</v>
      </c>
      <c r="R47" s="3" t="s">
        <v>34</v>
      </c>
      <c r="S47" s="3">
        <v>0</v>
      </c>
      <c r="T47" s="3">
        <v>38</v>
      </c>
      <c r="U47" s="3">
        <v>0</v>
      </c>
      <c r="V47" s="3">
        <v>543</v>
      </c>
      <c r="W47" s="22">
        <v>741.35</v>
      </c>
      <c r="X47" s="22">
        <v>740.35575000000006</v>
      </c>
      <c r="Y47" s="22">
        <f t="shared" si="5"/>
        <v>0.99424999999996544</v>
      </c>
      <c r="Z47" s="10">
        <v>5</v>
      </c>
      <c r="AA47" s="2"/>
      <c r="AB47" s="2"/>
      <c r="AC47" s="2"/>
      <c r="AD47" s="2"/>
      <c r="AE47" s="2"/>
      <c r="AF47" s="2"/>
      <c r="AG47" s="2"/>
      <c r="AH47" s="2"/>
      <c r="AI47" s="2"/>
    </row>
    <row r="48" spans="2:35" ht="15.75" customHeight="1" x14ac:dyDescent="0.2">
      <c r="B48" s="359"/>
      <c r="C48" s="10" t="s">
        <v>140</v>
      </c>
      <c r="D48" s="80" t="str">
        <f>HYPERLINK("https://www.facebook.com/483467011706766/posts/1837023259684461/","9 Aug")</f>
        <v>9 Aug</v>
      </c>
      <c r="E48" s="3">
        <v>346</v>
      </c>
      <c r="F48" s="3">
        <v>193664</v>
      </c>
      <c r="G48" s="94">
        <v>196829</v>
      </c>
      <c r="H48" s="27">
        <f t="shared" si="4"/>
        <v>1.7578710454252168E-3</v>
      </c>
      <c r="I48" s="3" t="s">
        <v>34</v>
      </c>
      <c r="J48" s="25" t="s">
        <v>34</v>
      </c>
      <c r="K48" s="3" t="s">
        <v>34</v>
      </c>
      <c r="L48" s="25" t="s">
        <v>34</v>
      </c>
      <c r="M48" s="3" t="s">
        <v>34</v>
      </c>
      <c r="N48" s="25" t="s">
        <v>34</v>
      </c>
      <c r="O48" s="3" t="s">
        <v>34</v>
      </c>
      <c r="P48" s="25" t="s">
        <v>34</v>
      </c>
      <c r="Q48" s="3">
        <v>4</v>
      </c>
      <c r="R48" s="3" t="s">
        <v>34</v>
      </c>
      <c r="S48" s="3">
        <v>0</v>
      </c>
      <c r="T48" s="3">
        <v>16</v>
      </c>
      <c r="U48" s="3">
        <v>0</v>
      </c>
      <c r="V48" s="3">
        <v>455</v>
      </c>
      <c r="W48" s="22">
        <v>741.35</v>
      </c>
      <c r="X48" s="22">
        <v>741.34274999999991</v>
      </c>
      <c r="Y48" s="22">
        <f t="shared" si="5"/>
        <v>7.2500000001127773E-3</v>
      </c>
      <c r="Z48" s="10">
        <v>6</v>
      </c>
      <c r="AA48" s="2"/>
      <c r="AB48" s="2"/>
      <c r="AC48" s="2"/>
      <c r="AD48" s="2"/>
      <c r="AE48" s="2"/>
      <c r="AF48" s="2"/>
      <c r="AG48" s="2"/>
      <c r="AH48" s="2"/>
      <c r="AI48" s="2"/>
    </row>
    <row r="49" spans="2:35" ht="15.75" customHeight="1" x14ac:dyDescent="0.2">
      <c r="B49" s="359"/>
      <c r="C49" s="10" t="s">
        <v>175</v>
      </c>
      <c r="D49" s="176" t="str">
        <f>HYPERLINK("https://www.facebook.com/ZespriSG/videos/230302901163246/","30 Aug")</f>
        <v>30 Aug</v>
      </c>
      <c r="E49" s="3">
        <v>4384</v>
      </c>
      <c r="F49" s="3">
        <v>179231</v>
      </c>
      <c r="G49" s="94">
        <v>180575</v>
      </c>
      <c r="H49" s="27">
        <f t="shared" si="4"/>
        <v>2.4278000830679772E-2</v>
      </c>
      <c r="I49" s="3">
        <v>4315</v>
      </c>
      <c r="J49" s="25">
        <f t="shared" si="10"/>
        <v>2.3895888135123909E-2</v>
      </c>
      <c r="K49" s="3">
        <v>497</v>
      </c>
      <c r="L49" s="27">
        <f t="shared" si="11"/>
        <v>2.752318981032812E-3</v>
      </c>
      <c r="M49" s="178">
        <v>1.5278969957081546E-2</v>
      </c>
      <c r="N49" s="29">
        <v>6.2411740274124321E-3</v>
      </c>
      <c r="O49" s="182">
        <v>3.8875813373944346E-3</v>
      </c>
      <c r="P49" s="27">
        <v>2.5751072961373391E-3</v>
      </c>
      <c r="Q49" s="3">
        <v>7</v>
      </c>
      <c r="R49" s="3" t="s">
        <v>34</v>
      </c>
      <c r="S49" s="3">
        <v>0</v>
      </c>
      <c r="T49" s="3">
        <v>45</v>
      </c>
      <c r="U49" s="3">
        <v>1</v>
      </c>
      <c r="V49" s="3">
        <v>694</v>
      </c>
      <c r="W49" s="22">
        <v>741.35</v>
      </c>
      <c r="X49" s="22">
        <v>741.20174999999995</v>
      </c>
      <c r="Y49" s="22">
        <f t="shared" si="5"/>
        <v>0.14825000000007549</v>
      </c>
      <c r="Z49" s="10">
        <v>4</v>
      </c>
      <c r="AA49" s="2"/>
      <c r="AB49" s="2"/>
      <c r="AC49" s="2"/>
      <c r="AD49" s="2"/>
      <c r="AE49" s="2"/>
      <c r="AF49" s="2"/>
      <c r="AG49" s="2"/>
      <c r="AH49" s="2"/>
      <c r="AI49" s="2"/>
    </row>
    <row r="50" spans="2:35" ht="15.75" customHeight="1" x14ac:dyDescent="0.2">
      <c r="B50" s="359"/>
      <c r="C50" s="190" t="s">
        <v>176</v>
      </c>
      <c r="D50" s="191" t="str">
        <f>HYPERLINK("https://www.facebook.com/ZespriSG/posts/1885613268158793","8 Sept")</f>
        <v>8 Sept</v>
      </c>
      <c r="E50" s="3">
        <v>137</v>
      </c>
      <c r="F50" s="3">
        <v>255478</v>
      </c>
      <c r="G50" s="94">
        <v>255478</v>
      </c>
      <c r="H50" s="27">
        <f t="shared" si="4"/>
        <v>5.3624969664706939E-4</v>
      </c>
      <c r="I50" s="3" t="s">
        <v>34</v>
      </c>
      <c r="J50" s="25" t="s">
        <v>34</v>
      </c>
      <c r="K50" s="3" t="s">
        <v>34</v>
      </c>
      <c r="L50" s="25" t="s">
        <v>34</v>
      </c>
      <c r="M50" s="3" t="s">
        <v>34</v>
      </c>
      <c r="N50" s="25" t="s">
        <v>34</v>
      </c>
      <c r="O50" s="3" t="s">
        <v>34</v>
      </c>
      <c r="P50" s="25" t="s">
        <v>34</v>
      </c>
      <c r="Q50" s="3">
        <v>8</v>
      </c>
      <c r="R50" s="3">
        <v>118</v>
      </c>
      <c r="S50" s="3">
        <v>0</v>
      </c>
      <c r="T50" s="3">
        <v>11</v>
      </c>
      <c r="U50" s="3">
        <v>0</v>
      </c>
      <c r="V50" s="3">
        <v>274</v>
      </c>
      <c r="W50" s="22">
        <v>700</v>
      </c>
      <c r="X50" s="22">
        <v>699.9944999999999</v>
      </c>
      <c r="Y50" s="22">
        <f t="shared" si="5"/>
        <v>5.5000000000973159E-3</v>
      </c>
      <c r="Z50" s="10">
        <v>6</v>
      </c>
      <c r="AA50" s="2"/>
      <c r="AB50" s="2"/>
      <c r="AC50" s="2"/>
      <c r="AD50" s="2"/>
      <c r="AE50" s="2"/>
      <c r="AF50" s="2"/>
      <c r="AG50" s="2"/>
      <c r="AH50" s="2"/>
      <c r="AI50" s="2"/>
    </row>
    <row r="51" spans="2:35" ht="15.75" customHeight="1" x14ac:dyDescent="0.2">
      <c r="B51" s="359"/>
      <c r="C51" s="190" t="s">
        <v>177</v>
      </c>
      <c r="D51" s="191" t="str">
        <f>HYPERLINK("https://www.facebook.com/ZespriSG/posts/1893121527407967","14 Sept")</f>
        <v>14 Sept</v>
      </c>
      <c r="E51" s="3">
        <v>150</v>
      </c>
      <c r="F51" s="3">
        <v>302976</v>
      </c>
      <c r="G51" s="94">
        <v>306139</v>
      </c>
      <c r="H51" s="120">
        <f t="shared" si="4"/>
        <v>4.8997350876562608E-4</v>
      </c>
      <c r="I51" s="3" t="s">
        <v>34</v>
      </c>
      <c r="J51" s="25" t="s">
        <v>34</v>
      </c>
      <c r="K51" s="3" t="s">
        <v>34</v>
      </c>
      <c r="L51" s="25" t="s">
        <v>34</v>
      </c>
      <c r="M51" s="3" t="s">
        <v>34</v>
      </c>
      <c r="N51" s="25" t="s">
        <v>34</v>
      </c>
      <c r="O51" s="3" t="s">
        <v>34</v>
      </c>
      <c r="P51" s="25" t="s">
        <v>34</v>
      </c>
      <c r="Q51" s="3">
        <v>5</v>
      </c>
      <c r="R51" s="3">
        <v>144</v>
      </c>
      <c r="S51" s="3">
        <v>0</v>
      </c>
      <c r="T51" s="3">
        <v>6</v>
      </c>
      <c r="U51" s="3">
        <v>0</v>
      </c>
      <c r="V51" s="3">
        <v>280</v>
      </c>
      <c r="W51" s="22">
        <v>854.06</v>
      </c>
      <c r="X51" s="22">
        <v>853.05</v>
      </c>
      <c r="Y51" s="22">
        <f t="shared" si="5"/>
        <v>1.0099999999999909</v>
      </c>
      <c r="Z51" s="10">
        <v>6</v>
      </c>
      <c r="AA51" s="2"/>
      <c r="AB51" s="2"/>
      <c r="AC51" s="2"/>
      <c r="AD51" s="2"/>
      <c r="AE51" s="2"/>
      <c r="AF51" s="2"/>
      <c r="AG51" s="2"/>
      <c r="AH51" s="2"/>
      <c r="AI51" s="2"/>
    </row>
    <row r="52" spans="2:35" ht="15.75" customHeight="1" x14ac:dyDescent="0.2">
      <c r="B52" s="359"/>
      <c r="C52" s="190" t="s">
        <v>178</v>
      </c>
      <c r="D52" s="191" t="str">
        <f>HYPERLINK("https://www.facebook.com/ZespriSG/photos/a.503780129675454/1899233650130088/?type=3&amp;theater","18 Sept")</f>
        <v>18 Sept</v>
      </c>
      <c r="E52" s="3">
        <v>147</v>
      </c>
      <c r="F52" s="3">
        <v>281473</v>
      </c>
      <c r="G52" s="94">
        <v>289681</v>
      </c>
      <c r="H52" s="27">
        <f t="shared" si="4"/>
        <v>5.0745475195128429E-4</v>
      </c>
      <c r="I52" s="3" t="s">
        <v>34</v>
      </c>
      <c r="J52" s="25" t="s">
        <v>34</v>
      </c>
      <c r="K52" s="3" t="s">
        <v>34</v>
      </c>
      <c r="L52" s="25" t="s">
        <v>34</v>
      </c>
      <c r="M52" s="3" t="s">
        <v>34</v>
      </c>
      <c r="N52" s="25" t="s">
        <v>34</v>
      </c>
      <c r="O52" s="3" t="s">
        <v>34</v>
      </c>
      <c r="P52" s="25" t="s">
        <v>34</v>
      </c>
      <c r="Q52" s="3">
        <v>0</v>
      </c>
      <c r="R52" s="3">
        <v>119</v>
      </c>
      <c r="S52" s="3">
        <v>0</v>
      </c>
      <c r="T52" s="3">
        <v>14</v>
      </c>
      <c r="U52" s="3">
        <v>0</v>
      </c>
      <c r="V52" s="3">
        <v>280</v>
      </c>
      <c r="W52" s="22">
        <v>854.06</v>
      </c>
      <c r="X52" s="22">
        <v>853.05</v>
      </c>
      <c r="Y52" s="22">
        <f t="shared" si="5"/>
        <v>1.0099999999999909</v>
      </c>
      <c r="Z52" s="10">
        <v>5</v>
      </c>
      <c r="AA52" s="2"/>
      <c r="AB52" s="2"/>
      <c r="AC52" s="2"/>
      <c r="AD52" s="2"/>
      <c r="AE52" s="2"/>
      <c r="AF52" s="2"/>
      <c r="AG52" s="2"/>
      <c r="AH52" s="2"/>
      <c r="AI52" s="2"/>
    </row>
    <row r="53" spans="2:35" ht="26.25" customHeight="1" x14ac:dyDescent="0.2">
      <c r="B53" s="359"/>
      <c r="C53" s="193" t="s">
        <v>179</v>
      </c>
      <c r="D53" s="191" t="str">
        <f>HYPERLINK("https://www.facebook.com/ZespriSG/photos/a.503780129675454/1907919599261493/?type=3&amp;theater","25 Sept")</f>
        <v>25 Sept</v>
      </c>
      <c r="E53" s="3" t="s">
        <v>34</v>
      </c>
      <c r="F53" s="3" t="s">
        <v>34</v>
      </c>
      <c r="G53" s="94" t="s">
        <v>34</v>
      </c>
      <c r="H53" s="3" t="s">
        <v>34</v>
      </c>
      <c r="I53" s="25" t="s">
        <v>34</v>
      </c>
      <c r="J53" s="3" t="s">
        <v>34</v>
      </c>
      <c r="K53" s="25" t="s">
        <v>34</v>
      </c>
      <c r="L53" s="3" t="s">
        <v>34</v>
      </c>
      <c r="M53" s="25" t="s">
        <v>34</v>
      </c>
      <c r="N53" s="3" t="s">
        <v>34</v>
      </c>
      <c r="O53" s="25" t="s">
        <v>34</v>
      </c>
      <c r="P53" s="3" t="s">
        <v>34</v>
      </c>
      <c r="Q53" s="25" t="s">
        <v>34</v>
      </c>
      <c r="R53" s="3" t="s">
        <v>34</v>
      </c>
      <c r="S53" s="25" t="s">
        <v>34</v>
      </c>
      <c r="T53" s="3" t="s">
        <v>34</v>
      </c>
      <c r="U53" s="25" t="s">
        <v>34</v>
      </c>
      <c r="V53" s="3" t="s">
        <v>34</v>
      </c>
      <c r="W53" s="25" t="s">
        <v>34</v>
      </c>
      <c r="X53" s="25" t="s">
        <v>34</v>
      </c>
      <c r="Y53" s="3" t="s">
        <v>34</v>
      </c>
      <c r="Z53" s="25" t="s">
        <v>34</v>
      </c>
      <c r="AA53" s="2"/>
      <c r="AB53" s="2"/>
      <c r="AC53" s="2"/>
      <c r="AD53" s="2"/>
      <c r="AE53" s="2"/>
      <c r="AF53" s="2"/>
      <c r="AG53" s="2"/>
      <c r="AH53" s="2"/>
      <c r="AI53" s="2"/>
    </row>
    <row r="54" spans="2:35" ht="15.75" customHeight="1" x14ac:dyDescent="0.2">
      <c r="B54" s="359"/>
      <c r="C54" s="190" t="s">
        <v>180</v>
      </c>
      <c r="D54" s="191" t="str">
        <f>HYPERLINK("
https://www.facebook.com/483467011706766/posts/1906531006067019/","27 Sept")</f>
        <v>27 Sept</v>
      </c>
      <c r="E54" s="3">
        <v>76</v>
      </c>
      <c r="F54" s="3">
        <v>315098</v>
      </c>
      <c r="G54" s="94">
        <v>315098</v>
      </c>
      <c r="H54" s="120">
        <f t="shared" ref="H54:H61" si="12">E54/G54</f>
        <v>2.4119480288672097E-4</v>
      </c>
      <c r="I54" s="3" t="s">
        <v>34</v>
      </c>
      <c r="J54" s="25" t="s">
        <v>34</v>
      </c>
      <c r="K54" s="3" t="s">
        <v>34</v>
      </c>
      <c r="L54" s="25" t="s">
        <v>34</v>
      </c>
      <c r="M54" s="3" t="s">
        <v>34</v>
      </c>
      <c r="N54" s="25" t="s">
        <v>34</v>
      </c>
      <c r="O54" s="3" t="s">
        <v>34</v>
      </c>
      <c r="P54" s="25" t="s">
        <v>34</v>
      </c>
      <c r="Q54" s="3">
        <v>0</v>
      </c>
      <c r="R54" s="3">
        <v>72</v>
      </c>
      <c r="S54" s="3">
        <v>0</v>
      </c>
      <c r="T54" s="3">
        <v>4</v>
      </c>
      <c r="U54" s="3">
        <v>0</v>
      </c>
      <c r="V54" s="3">
        <v>172</v>
      </c>
      <c r="W54" s="22">
        <v>854.06</v>
      </c>
      <c r="X54" s="22">
        <v>854.07224999999994</v>
      </c>
      <c r="Y54" s="22">
        <f t="shared" si="5"/>
        <v>-1.2249999999994543E-2</v>
      </c>
      <c r="Z54" s="10">
        <v>2</v>
      </c>
      <c r="AA54" s="2"/>
      <c r="AB54" s="2"/>
      <c r="AC54" s="2"/>
      <c r="AD54" s="2"/>
      <c r="AE54" s="2"/>
      <c r="AF54" s="2"/>
      <c r="AG54" s="2"/>
      <c r="AH54" s="2"/>
      <c r="AI54" s="2"/>
    </row>
    <row r="55" spans="2:35" ht="15.75" customHeight="1" x14ac:dyDescent="0.2">
      <c r="B55" s="359"/>
      <c r="C55" s="10" t="s">
        <v>181</v>
      </c>
      <c r="D55" s="176" t="str">
        <f>HYPERLINK("https://www.facebook.com/ZespriSG/photos/a.503780129675454/1939065876146865/?type=3&amp;theater","25 Oct ")</f>
        <v xml:space="preserve">25 Oct </v>
      </c>
      <c r="E55" s="3">
        <v>257</v>
      </c>
      <c r="F55" s="3">
        <v>137469</v>
      </c>
      <c r="G55" s="94">
        <v>229062</v>
      </c>
      <c r="H55" s="120">
        <f t="shared" si="12"/>
        <v>1.1219669783726677E-3</v>
      </c>
      <c r="I55" s="3" t="s">
        <v>34</v>
      </c>
      <c r="J55" s="25" t="s">
        <v>34</v>
      </c>
      <c r="K55" s="3" t="s">
        <v>34</v>
      </c>
      <c r="L55" s="25" t="s">
        <v>34</v>
      </c>
      <c r="M55" s="3" t="s">
        <v>34</v>
      </c>
      <c r="N55" s="25" t="s">
        <v>34</v>
      </c>
      <c r="O55" s="3" t="s">
        <v>34</v>
      </c>
      <c r="P55" s="25" t="s">
        <v>34</v>
      </c>
      <c r="Q55" s="3">
        <v>0</v>
      </c>
      <c r="R55" s="3">
        <v>210</v>
      </c>
      <c r="S55" s="3">
        <v>0</v>
      </c>
      <c r="T55" s="3">
        <v>45</v>
      </c>
      <c r="U55" s="3">
        <v>2</v>
      </c>
      <c r="V55" s="3">
        <v>460</v>
      </c>
      <c r="W55" s="22">
        <v>741.35</v>
      </c>
      <c r="X55" s="22">
        <v>741.34274999999991</v>
      </c>
      <c r="Y55" s="22">
        <f t="shared" si="5"/>
        <v>7.2500000001127773E-3</v>
      </c>
      <c r="Z55" s="10">
        <v>5</v>
      </c>
      <c r="AA55" s="2"/>
      <c r="AB55" s="2"/>
      <c r="AC55" s="2"/>
      <c r="AD55" s="2"/>
      <c r="AE55" s="2"/>
      <c r="AF55" s="2"/>
      <c r="AG55" s="2"/>
      <c r="AH55" s="2"/>
      <c r="AI55" s="2"/>
    </row>
    <row r="56" spans="2:35" ht="15.75" customHeight="1" x14ac:dyDescent="0.2">
      <c r="B56" s="359"/>
      <c r="C56" s="10" t="s">
        <v>147</v>
      </c>
      <c r="D56" s="176" t="str">
        <f>HYPERLINK("https://www.facebook.com/483467011706766/posts/1964501960269923/","6 Nov ")</f>
        <v xml:space="preserve">6 Nov </v>
      </c>
      <c r="E56" s="3">
        <v>5188</v>
      </c>
      <c r="F56" s="3">
        <v>192221</v>
      </c>
      <c r="G56" s="94">
        <v>196028</v>
      </c>
      <c r="H56" s="120">
        <f t="shared" si="12"/>
        <v>2.6465606954108597E-2</v>
      </c>
      <c r="I56" s="3">
        <v>5045</v>
      </c>
      <c r="J56" s="25">
        <f t="shared" ref="J56:J60" si="13">I56/G56</f>
        <v>2.5736119329891647E-2</v>
      </c>
      <c r="K56" s="3">
        <v>2104</v>
      </c>
      <c r="L56" s="27">
        <f t="shared" ref="L56:L60" si="14">K56/G56</f>
        <v>1.0733160568898321E-2</v>
      </c>
      <c r="M56" s="178">
        <v>6.4791764441814434E-2</v>
      </c>
      <c r="N56" s="29">
        <v>2.5195380251800764E-2</v>
      </c>
      <c r="O56" s="178">
        <v>1.5390658477360377E-2</v>
      </c>
      <c r="P56" s="29">
        <v>1.0641336951864019E-2</v>
      </c>
      <c r="Q56" s="3" t="s">
        <v>34</v>
      </c>
      <c r="R56" s="3">
        <v>0</v>
      </c>
      <c r="S56" s="3">
        <v>0</v>
      </c>
      <c r="T56" s="3">
        <v>118</v>
      </c>
      <c r="U56" s="3">
        <v>25</v>
      </c>
      <c r="V56" s="3">
        <v>726</v>
      </c>
      <c r="W56" s="22">
        <v>741.35</v>
      </c>
      <c r="X56" s="22">
        <v>740.25</v>
      </c>
      <c r="Y56" s="22">
        <f t="shared" si="5"/>
        <v>1.1000000000000227</v>
      </c>
      <c r="Z56" s="10">
        <v>4</v>
      </c>
      <c r="AA56" s="2"/>
      <c r="AB56" s="2"/>
      <c r="AC56" s="2"/>
      <c r="AD56" s="2"/>
      <c r="AE56" s="2"/>
      <c r="AF56" s="2"/>
      <c r="AG56" s="2"/>
      <c r="AH56" s="2"/>
      <c r="AI56" s="2"/>
    </row>
    <row r="57" spans="2:35" ht="15.75" customHeight="1" x14ac:dyDescent="0.2">
      <c r="B57" s="359"/>
      <c r="C57" s="10" t="s">
        <v>182</v>
      </c>
      <c r="D57" s="176" t="str">
        <f>HYPERLINK("https://www.facebook.com/483467011706766/posts/1970274613025991/","12 Oct ")</f>
        <v xml:space="preserve">12 Oct </v>
      </c>
      <c r="E57" s="3">
        <v>4833</v>
      </c>
      <c r="F57" s="3">
        <v>192730</v>
      </c>
      <c r="G57" s="94">
        <v>198126</v>
      </c>
      <c r="H57" s="120">
        <f t="shared" si="12"/>
        <v>2.43935677296266E-2</v>
      </c>
      <c r="I57" s="3">
        <v>4795</v>
      </c>
      <c r="J57" s="25">
        <f t="shared" si="13"/>
        <v>2.420177059043235E-2</v>
      </c>
      <c r="K57" s="3">
        <v>981</v>
      </c>
      <c r="L57" s="27">
        <f t="shared" si="14"/>
        <v>4.9513945670936676E-3</v>
      </c>
      <c r="M57" s="178">
        <v>2.7230146472446828E-2</v>
      </c>
      <c r="N57" s="29">
        <v>1.0786065433108224E-2</v>
      </c>
      <c r="O57" s="182">
        <v>6.3898731110505437E-3</v>
      </c>
      <c r="P57" s="27">
        <v>4.9665364465037399E-3</v>
      </c>
      <c r="Q57" s="25" t="s">
        <v>34</v>
      </c>
      <c r="R57" s="3">
        <v>0</v>
      </c>
      <c r="S57" s="3">
        <v>1</v>
      </c>
      <c r="T57" s="3">
        <v>36</v>
      </c>
      <c r="U57" s="3">
        <v>1</v>
      </c>
      <c r="V57" s="3">
        <v>562</v>
      </c>
      <c r="W57" s="22">
        <v>741.35</v>
      </c>
      <c r="X57" s="22">
        <v>741.34274999999991</v>
      </c>
      <c r="Y57" s="22">
        <f t="shared" si="5"/>
        <v>7.2500000001127773E-3</v>
      </c>
      <c r="Z57" s="10">
        <v>5</v>
      </c>
      <c r="AA57" s="2"/>
      <c r="AB57" s="2"/>
      <c r="AC57" s="2"/>
      <c r="AD57" s="2"/>
      <c r="AE57" s="2"/>
      <c r="AF57" s="2"/>
      <c r="AG57" s="2"/>
      <c r="AH57" s="2"/>
      <c r="AI57" s="2"/>
    </row>
    <row r="58" spans="2:35" ht="15.75" customHeight="1" x14ac:dyDescent="0.2">
      <c r="B58" s="359"/>
      <c r="C58" s="10" t="s">
        <v>183</v>
      </c>
      <c r="D58" s="176" t="str">
        <f>HYPERLINK("https://www.facebook.com/483467011706766/posts/1970306799689439/","14 Nov ")</f>
        <v xml:space="preserve">14 Nov </v>
      </c>
      <c r="E58" s="3">
        <v>195</v>
      </c>
      <c r="F58" s="3">
        <v>153885</v>
      </c>
      <c r="G58" s="94">
        <v>157988</v>
      </c>
      <c r="H58" s="120">
        <f t="shared" si="12"/>
        <v>1.2342709572878952E-3</v>
      </c>
      <c r="I58" s="3" t="s">
        <v>34</v>
      </c>
      <c r="J58" s="25" t="s">
        <v>34</v>
      </c>
      <c r="K58" s="3" t="s">
        <v>34</v>
      </c>
      <c r="L58" s="25" t="s">
        <v>34</v>
      </c>
      <c r="M58" s="3" t="s">
        <v>34</v>
      </c>
      <c r="N58" s="25" t="s">
        <v>34</v>
      </c>
      <c r="O58" s="3" t="s">
        <v>34</v>
      </c>
      <c r="P58" s="25" t="s">
        <v>34</v>
      </c>
      <c r="Q58" s="3">
        <v>0</v>
      </c>
      <c r="R58" s="3">
        <v>150</v>
      </c>
      <c r="S58" s="3">
        <v>1</v>
      </c>
      <c r="T58" s="3">
        <v>44</v>
      </c>
      <c r="U58" s="3">
        <v>0</v>
      </c>
      <c r="V58" s="3">
        <v>342</v>
      </c>
      <c r="W58" s="22">
        <v>741.35</v>
      </c>
      <c r="X58" s="22">
        <v>741.34274999999991</v>
      </c>
      <c r="Y58" s="22">
        <f t="shared" si="5"/>
        <v>7.2500000001127773E-3</v>
      </c>
      <c r="Z58" s="10">
        <v>2</v>
      </c>
      <c r="AA58" s="2"/>
      <c r="AB58" s="2"/>
      <c r="AC58" s="2"/>
      <c r="AD58" s="2"/>
      <c r="AE58" s="2"/>
      <c r="AF58" s="2"/>
      <c r="AG58" s="2"/>
      <c r="AH58" s="2"/>
      <c r="AI58" s="2"/>
    </row>
    <row r="59" spans="2:35" ht="15.75" customHeight="1" x14ac:dyDescent="0.2">
      <c r="B59" s="359"/>
      <c r="C59" s="10" t="s">
        <v>184</v>
      </c>
      <c r="D59" s="176" t="str">
        <f>HYPERLINK("
https://www.facebook.com/483467011706766/posts/1995296483857137/","28 Nov ")</f>
        <v xml:space="preserve">28 Nov </v>
      </c>
      <c r="E59" s="3">
        <v>14916</v>
      </c>
      <c r="F59" s="3">
        <v>181752</v>
      </c>
      <c r="G59" s="94">
        <v>185803</v>
      </c>
      <c r="H59" s="29">
        <f t="shared" si="12"/>
        <v>8.0278574619354906E-2</v>
      </c>
      <c r="I59" s="3">
        <v>14793</v>
      </c>
      <c r="J59" s="25">
        <f t="shared" si="13"/>
        <v>7.9616583155277365E-2</v>
      </c>
      <c r="K59" s="3">
        <v>5968</v>
      </c>
      <c r="L59" s="29">
        <f t="shared" si="14"/>
        <v>3.2120041118819394E-2</v>
      </c>
      <c r="M59" s="178">
        <v>0.10383578306055338</v>
      </c>
      <c r="N59" s="29">
        <v>6.2469389622341942E-2</v>
      </c>
      <c r="O59" s="178">
        <v>4.4714025069562922E-2</v>
      </c>
      <c r="P59" s="29">
        <v>3.1458049654741853E-2</v>
      </c>
      <c r="Q59" s="3" t="s">
        <v>34</v>
      </c>
      <c r="R59" s="3">
        <v>0</v>
      </c>
      <c r="S59" s="3">
        <v>1</v>
      </c>
      <c r="T59" s="3">
        <v>117</v>
      </c>
      <c r="U59" s="3">
        <v>5</v>
      </c>
      <c r="V59" s="3">
        <v>1139</v>
      </c>
      <c r="W59" s="22">
        <v>741.35</v>
      </c>
      <c r="X59" s="22">
        <v>741.34274999999991</v>
      </c>
      <c r="Y59" s="22">
        <f t="shared" si="5"/>
        <v>7.2500000001127773E-3</v>
      </c>
      <c r="Z59" s="10">
        <v>5</v>
      </c>
      <c r="AA59" s="2"/>
      <c r="AB59" s="2"/>
      <c r="AC59" s="2"/>
      <c r="AD59" s="2"/>
      <c r="AE59" s="2"/>
      <c r="AF59" s="2"/>
      <c r="AG59" s="2"/>
      <c r="AH59" s="2"/>
      <c r="AI59" s="2"/>
    </row>
    <row r="60" spans="2:35" ht="15.75" customHeight="1" x14ac:dyDescent="0.2">
      <c r="B60" s="359"/>
      <c r="C60" s="10" t="s">
        <v>185</v>
      </c>
      <c r="D60" s="176" t="str">
        <f>HYPERLINK("https://www.facebook.com/483467011706766/posts/2004495939603858/","5 Dec ")</f>
        <v xml:space="preserve">5 Dec </v>
      </c>
      <c r="E60" s="3">
        <v>5570</v>
      </c>
      <c r="F60" s="3">
        <v>169535</v>
      </c>
      <c r="G60" s="94">
        <v>174653</v>
      </c>
      <c r="H60" s="29">
        <f t="shared" si="12"/>
        <v>3.1891808328514251E-2</v>
      </c>
      <c r="I60" s="3">
        <v>5506</v>
      </c>
      <c r="J60" s="25">
        <f t="shared" si="13"/>
        <v>3.1525367442872439E-2</v>
      </c>
      <c r="K60" s="3">
        <v>1328</v>
      </c>
      <c r="L60" s="27">
        <f t="shared" si="14"/>
        <v>7.6036483770676715E-3</v>
      </c>
      <c r="M60" s="178">
        <v>4.8026658574430441E-2</v>
      </c>
      <c r="N60" s="29">
        <v>1.9724825797438349E-2</v>
      </c>
      <c r="O60" s="178">
        <v>1.1628772480289488E-2</v>
      </c>
      <c r="P60" s="29">
        <v>7.3688971847033829E-3</v>
      </c>
      <c r="Q60" s="3" t="s">
        <v>34</v>
      </c>
      <c r="R60" s="3">
        <v>0</v>
      </c>
      <c r="S60" s="3">
        <v>1</v>
      </c>
      <c r="T60" s="3">
        <v>62</v>
      </c>
      <c r="U60" s="3">
        <v>1</v>
      </c>
      <c r="V60" s="3">
        <v>565</v>
      </c>
      <c r="W60" s="22">
        <v>741.35</v>
      </c>
      <c r="X60" s="22">
        <v>741.34274999999991</v>
      </c>
      <c r="Y60" s="22">
        <f t="shared" si="5"/>
        <v>7.2500000001127773E-3</v>
      </c>
      <c r="Z60" s="10">
        <v>2</v>
      </c>
      <c r="AA60" s="2"/>
      <c r="AB60" s="2"/>
      <c r="AC60" s="2"/>
      <c r="AD60" s="2"/>
      <c r="AE60" s="2"/>
      <c r="AF60" s="2"/>
      <c r="AG60" s="2"/>
      <c r="AH60" s="2"/>
      <c r="AI60" s="2"/>
    </row>
    <row r="61" spans="2:35" ht="15.75" customHeight="1" x14ac:dyDescent="0.2">
      <c r="B61" s="359"/>
      <c r="C61" s="10" t="s">
        <v>186</v>
      </c>
      <c r="D61" s="176" t="str">
        <f>HYPERLINK("https://www.facebook.com/ZespriSG/posts/2025176787535773","19 Dec ")</f>
        <v xml:space="preserve">19 Dec </v>
      </c>
      <c r="E61" s="3">
        <v>239</v>
      </c>
      <c r="F61" s="3">
        <v>177532</v>
      </c>
      <c r="G61" s="94">
        <v>181293</v>
      </c>
      <c r="H61" s="27">
        <f t="shared" si="12"/>
        <v>1.3183079324629191E-3</v>
      </c>
      <c r="I61" s="3" t="s">
        <v>34</v>
      </c>
      <c r="J61" s="25" t="s">
        <v>34</v>
      </c>
      <c r="K61" s="3" t="s">
        <v>34</v>
      </c>
      <c r="L61" s="25" t="s">
        <v>34</v>
      </c>
      <c r="M61" s="3" t="s">
        <v>34</v>
      </c>
      <c r="N61" s="25" t="s">
        <v>34</v>
      </c>
      <c r="O61" s="3" t="s">
        <v>34</v>
      </c>
      <c r="P61" s="25" t="s">
        <v>34</v>
      </c>
      <c r="Q61" s="3">
        <v>0</v>
      </c>
      <c r="R61" s="3">
        <v>0</v>
      </c>
      <c r="S61" s="3">
        <v>0</v>
      </c>
      <c r="T61" s="3">
        <v>57</v>
      </c>
      <c r="U61" s="3">
        <v>0</v>
      </c>
      <c r="V61" s="3">
        <v>344</v>
      </c>
      <c r="W61" s="22">
        <v>741.35</v>
      </c>
      <c r="X61" s="22">
        <v>741.34274999999991</v>
      </c>
      <c r="Y61" s="22">
        <f t="shared" si="5"/>
        <v>7.2500000001127773E-3</v>
      </c>
      <c r="Z61" s="10">
        <v>5</v>
      </c>
      <c r="AA61" s="2"/>
      <c r="AB61" s="2"/>
      <c r="AC61" s="2"/>
      <c r="AD61" s="2"/>
      <c r="AE61" s="2"/>
      <c r="AF61" s="2"/>
      <c r="AG61" s="2"/>
      <c r="AH61" s="2"/>
      <c r="AI61" s="2"/>
    </row>
    <row r="62" spans="2:35" ht="15.75" hidden="1" customHeight="1" x14ac:dyDescent="0.2">
      <c r="B62" s="359"/>
      <c r="C62" s="10" t="s">
        <v>187</v>
      </c>
      <c r="D62" s="176" t="str">
        <f>HYPERLINK("https://www.facebook.com/483467011706766/posts/2057845137602271/","14 Jan ")</f>
        <v xml:space="preserve">14 Jan </v>
      </c>
      <c r="E62" s="3"/>
      <c r="F62" s="3"/>
      <c r="G62" s="94"/>
      <c r="H62" s="29"/>
      <c r="I62" s="3"/>
      <c r="J62" s="25"/>
      <c r="K62" s="3"/>
      <c r="L62" s="27"/>
      <c r="M62" s="178"/>
      <c r="N62" s="29"/>
      <c r="O62" s="178"/>
      <c r="P62" s="29"/>
      <c r="Q62" s="3"/>
      <c r="R62" s="3"/>
      <c r="S62" s="3"/>
      <c r="T62" s="3"/>
      <c r="U62" s="3"/>
      <c r="V62" s="3"/>
      <c r="W62" s="22"/>
      <c r="X62" s="22"/>
      <c r="Y62" s="22"/>
      <c r="Z62" s="10"/>
      <c r="AA62" s="2"/>
      <c r="AB62" s="2"/>
      <c r="AC62" s="2"/>
      <c r="AD62" s="2"/>
      <c r="AE62" s="2"/>
      <c r="AF62" s="2"/>
      <c r="AG62" s="2"/>
      <c r="AH62" s="2"/>
      <c r="AI62" s="2"/>
    </row>
    <row r="63" spans="2:35" ht="15.75" hidden="1" customHeight="1" x14ac:dyDescent="0.2">
      <c r="B63" s="359"/>
      <c r="C63" s="10"/>
      <c r="D63" s="176"/>
      <c r="E63" s="3"/>
      <c r="F63" s="3"/>
      <c r="G63" s="94"/>
      <c r="H63" s="29"/>
      <c r="I63" s="3"/>
      <c r="J63" s="25"/>
      <c r="K63" s="3"/>
      <c r="L63" s="27"/>
      <c r="M63" s="178"/>
      <c r="N63" s="29"/>
      <c r="O63" s="178"/>
      <c r="P63" s="29"/>
      <c r="Q63" s="3"/>
      <c r="R63" s="3"/>
      <c r="S63" s="3"/>
      <c r="T63" s="3"/>
      <c r="U63" s="3"/>
      <c r="V63" s="3"/>
      <c r="W63" s="22"/>
      <c r="X63" s="22"/>
      <c r="Y63" s="22"/>
      <c r="Z63" s="10"/>
      <c r="AA63" s="2"/>
      <c r="AB63" s="2"/>
      <c r="AC63" s="2"/>
      <c r="AD63" s="2"/>
      <c r="AE63" s="2"/>
      <c r="AF63" s="2"/>
      <c r="AG63" s="2"/>
      <c r="AH63" s="2"/>
      <c r="AI63" s="2"/>
    </row>
    <row r="64" spans="2:35" ht="15.75" hidden="1" customHeight="1" x14ac:dyDescent="0.2">
      <c r="B64" s="359"/>
      <c r="C64" s="10"/>
      <c r="D64" s="176"/>
      <c r="E64" s="3"/>
      <c r="F64" s="3"/>
      <c r="G64" s="94"/>
      <c r="H64" s="29"/>
      <c r="I64" s="3"/>
      <c r="J64" s="25"/>
      <c r="K64" s="3"/>
      <c r="L64" s="27"/>
      <c r="M64" s="178"/>
      <c r="N64" s="29"/>
      <c r="O64" s="178"/>
      <c r="P64" s="29"/>
      <c r="Q64" s="3"/>
      <c r="R64" s="3"/>
      <c r="S64" s="3"/>
      <c r="T64" s="3"/>
      <c r="U64" s="3"/>
      <c r="V64" s="3"/>
      <c r="W64" s="22"/>
      <c r="X64" s="22"/>
      <c r="Y64" s="22"/>
      <c r="Z64" s="10"/>
      <c r="AA64" s="2"/>
      <c r="AB64" s="2"/>
      <c r="AC64" s="2"/>
      <c r="AD64" s="2"/>
      <c r="AE64" s="2"/>
      <c r="AF64" s="2"/>
      <c r="AG64" s="2"/>
      <c r="AH64" s="2"/>
      <c r="AI64" s="2"/>
    </row>
    <row r="65" spans="2:35" ht="15.75" hidden="1" customHeight="1" x14ac:dyDescent="0.2">
      <c r="B65" s="359"/>
      <c r="C65" s="10"/>
      <c r="D65" s="176"/>
      <c r="E65" s="3"/>
      <c r="F65" s="3"/>
      <c r="G65" s="94"/>
      <c r="H65" s="29"/>
      <c r="I65" s="3"/>
      <c r="J65" s="25"/>
      <c r="K65" s="3"/>
      <c r="L65" s="27"/>
      <c r="M65" s="178"/>
      <c r="N65" s="29"/>
      <c r="O65" s="178"/>
      <c r="P65" s="29"/>
      <c r="Q65" s="3"/>
      <c r="R65" s="3"/>
      <c r="S65" s="3"/>
      <c r="T65" s="3"/>
      <c r="U65" s="3"/>
      <c r="V65" s="3"/>
      <c r="W65" s="22"/>
      <c r="X65" s="22"/>
      <c r="Y65" s="22"/>
      <c r="Z65" s="10"/>
      <c r="AA65" s="2"/>
      <c r="AB65" s="2"/>
      <c r="AC65" s="2"/>
      <c r="AD65" s="2"/>
      <c r="AE65" s="2"/>
      <c r="AF65" s="2"/>
      <c r="AG65" s="2"/>
      <c r="AH65" s="2"/>
      <c r="AI65" s="2"/>
    </row>
    <row r="66" spans="2:35" ht="15.75" hidden="1" customHeight="1" x14ac:dyDescent="0.2">
      <c r="B66" s="359"/>
      <c r="C66" s="10"/>
      <c r="D66" s="80"/>
      <c r="E66" s="3"/>
      <c r="F66" s="3"/>
      <c r="G66" s="94"/>
      <c r="H66" s="120"/>
      <c r="I66" s="3"/>
      <c r="J66" s="25"/>
      <c r="K66" s="3"/>
      <c r="L66" s="25"/>
      <c r="M66" s="25"/>
      <c r="N66" s="25"/>
      <c r="O66" s="25"/>
      <c r="P66" s="25"/>
      <c r="Q66" s="3"/>
      <c r="R66" s="3"/>
      <c r="S66" s="3"/>
      <c r="T66" s="3"/>
      <c r="U66" s="3"/>
      <c r="V66" s="3"/>
      <c r="W66" s="22"/>
      <c r="X66" s="22"/>
      <c r="Y66" s="22"/>
      <c r="Z66" s="10"/>
      <c r="AA66" s="2"/>
      <c r="AB66" s="2"/>
      <c r="AC66" s="2"/>
      <c r="AD66" s="2"/>
      <c r="AE66" s="2"/>
      <c r="AF66" s="2"/>
      <c r="AG66" s="2"/>
      <c r="AH66" s="2"/>
      <c r="AI66" s="2"/>
    </row>
    <row r="67" spans="2:35" ht="15.75" customHeight="1" x14ac:dyDescent="0.2">
      <c r="B67" s="360" t="s">
        <v>120</v>
      </c>
      <c r="C67" s="361"/>
      <c r="D67" s="362"/>
      <c r="E67" s="72">
        <f>SUM(E31:E66)</f>
        <v>97584</v>
      </c>
      <c r="F67" s="72">
        <f>SUM(F31:F66)</f>
        <v>5267123</v>
      </c>
      <c r="G67" s="72">
        <f>SUM(G31:G66)</f>
        <v>5473387</v>
      </c>
      <c r="H67" s="73">
        <f>AVERAGE(H31:H66)</f>
        <v>2.1016508097515207E-2</v>
      </c>
      <c r="I67" s="72">
        <f>SUM(I31:I66)</f>
        <v>93197</v>
      </c>
      <c r="J67" s="73">
        <f>IFERROR(AVERAGE(J31:J66),0)</f>
        <v>4.1850861801130727E-2</v>
      </c>
      <c r="K67" s="72">
        <f>SUM(K31:K66)</f>
        <v>48646</v>
      </c>
      <c r="L67" s="73">
        <f>IFERROR(AVERAGE(L31:L66),0)</f>
        <v>2.1397730880679113E-2</v>
      </c>
      <c r="M67" s="73">
        <f>IFERROR(AVERAGE(M31:M66),0)</f>
        <v>0.11555215222031714</v>
      </c>
      <c r="N67" s="73">
        <f>IFERROR(AVERAGE(N31:N66),0)</f>
        <v>5.2662180349814521E-2</v>
      </c>
      <c r="O67" s="73">
        <f>IFERROR(AVERAGE(O31:O66),0)</f>
        <v>3.1926111557966083E-2</v>
      </c>
      <c r="P67" s="73">
        <f>IFERROR(AVERAGE(P31:P66),0)</f>
        <v>2.1945179622650555E-2</v>
      </c>
      <c r="Q67" s="72">
        <f t="shared" ref="Q67:X67" si="15">SUM(Q31:Q66)</f>
        <v>210</v>
      </c>
      <c r="R67" s="72">
        <f t="shared" si="15"/>
        <v>2132</v>
      </c>
      <c r="S67" s="72">
        <f t="shared" si="15"/>
        <v>22</v>
      </c>
      <c r="T67" s="72">
        <f t="shared" si="15"/>
        <v>1552</v>
      </c>
      <c r="U67" s="72">
        <f t="shared" si="15"/>
        <v>102</v>
      </c>
      <c r="V67" s="72">
        <f t="shared" si="15"/>
        <v>15489</v>
      </c>
      <c r="W67" s="75">
        <f t="shared" si="15"/>
        <v>22537.279999999995</v>
      </c>
      <c r="X67" s="75">
        <f t="shared" si="15"/>
        <v>21794.236249999998</v>
      </c>
      <c r="Y67" s="74">
        <f>W67-X67</f>
        <v>743.04374999999709</v>
      </c>
      <c r="Z67" s="77">
        <f>AVERAGE(Z31:Z66)</f>
        <v>4.1379310344827589</v>
      </c>
      <c r="AA67" s="2"/>
      <c r="AB67" s="2"/>
      <c r="AC67" s="2"/>
      <c r="AD67" s="2"/>
      <c r="AE67" s="2"/>
      <c r="AF67" s="2"/>
      <c r="AG67" s="2"/>
      <c r="AH67" s="2"/>
      <c r="AI67" s="2"/>
    </row>
    <row r="68" spans="2:35" ht="15.75" customHeight="1" x14ac:dyDescent="0.2">
      <c r="B68" s="204" t="s">
        <v>188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6"/>
      <c r="Z68" s="2"/>
      <c r="AA68" s="2"/>
      <c r="AB68" s="2"/>
      <c r="AC68" s="2"/>
      <c r="AD68" s="2"/>
      <c r="AE68" s="2"/>
      <c r="AF68" s="2"/>
      <c r="AG68" s="2"/>
      <c r="AH68" s="2"/>
    </row>
    <row r="69" spans="2:35" ht="12.75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6"/>
      <c r="Z69" s="2"/>
      <c r="AA69" s="2"/>
      <c r="AB69" s="2"/>
      <c r="AC69" s="2"/>
      <c r="AD69" s="2"/>
      <c r="AE69" s="2"/>
      <c r="AF69" s="2"/>
      <c r="AG69" s="2"/>
      <c r="AH69" s="2"/>
    </row>
    <row r="70" spans="2:35" ht="15.75" customHeight="1" x14ac:dyDescent="0.2">
      <c r="B70" s="352" t="s">
        <v>189</v>
      </c>
      <c r="C70" s="352"/>
      <c r="D70" s="352"/>
      <c r="E70" s="352"/>
      <c r="F70" s="352"/>
      <c r="G70" s="352"/>
      <c r="H70" s="352"/>
      <c r="I70" s="352"/>
      <c r="J70" s="352"/>
      <c r="K70" s="352"/>
      <c r="L70" s="352"/>
      <c r="M70" s="352"/>
      <c r="N70" s="352"/>
      <c r="O70" s="352"/>
      <c r="P70" s="352"/>
      <c r="Q70" s="352"/>
      <c r="R70" s="352"/>
      <c r="S70" s="352"/>
      <c r="T70" s="352"/>
      <c r="U70" s="352"/>
      <c r="V70" s="352"/>
      <c r="W70" s="352"/>
      <c r="X70" s="352"/>
      <c r="Y70" s="352"/>
      <c r="Z70" s="352"/>
      <c r="AA70" s="2"/>
      <c r="AB70" s="2"/>
      <c r="AC70" s="2"/>
      <c r="AD70" s="2"/>
      <c r="AE70" s="2"/>
      <c r="AF70" s="2"/>
      <c r="AG70" s="2"/>
      <c r="AH70" s="2"/>
      <c r="AI70" s="2"/>
    </row>
    <row r="71" spans="2:35" ht="38.25" x14ac:dyDescent="0.2">
      <c r="B71" s="85" t="s">
        <v>159</v>
      </c>
      <c r="C71" s="13" t="s">
        <v>62</v>
      </c>
      <c r="D71" s="13" t="s">
        <v>63</v>
      </c>
      <c r="E71" s="13" t="s">
        <v>64</v>
      </c>
      <c r="F71" s="13" t="s">
        <v>65</v>
      </c>
      <c r="G71" s="13" t="s">
        <v>66</v>
      </c>
      <c r="H71" s="13" t="s">
        <v>67</v>
      </c>
      <c r="I71" s="97" t="s">
        <v>68</v>
      </c>
      <c r="J71" s="13" t="s">
        <v>21</v>
      </c>
      <c r="K71" s="13" t="s">
        <v>69</v>
      </c>
      <c r="L71" s="13" t="s">
        <v>70</v>
      </c>
      <c r="M71" s="13" t="s">
        <v>71</v>
      </c>
      <c r="N71" s="13" t="s">
        <v>72</v>
      </c>
      <c r="O71" s="13" t="s">
        <v>73</v>
      </c>
      <c r="P71" s="13" t="s">
        <v>74</v>
      </c>
      <c r="Q71" s="13" t="s">
        <v>75</v>
      </c>
      <c r="R71" s="13" t="s">
        <v>76</v>
      </c>
      <c r="S71" s="13" t="s">
        <v>77</v>
      </c>
      <c r="T71" s="13" t="s">
        <v>78</v>
      </c>
      <c r="U71" s="13" t="s">
        <v>79</v>
      </c>
      <c r="V71" s="13" t="s">
        <v>80</v>
      </c>
      <c r="W71" s="13" t="s">
        <v>81</v>
      </c>
      <c r="X71" s="14" t="s">
        <v>82</v>
      </c>
      <c r="Y71" s="14" t="s">
        <v>83</v>
      </c>
      <c r="Z71" s="15" t="s">
        <v>84</v>
      </c>
      <c r="AA71" s="2"/>
      <c r="AB71" s="2"/>
      <c r="AC71" s="2"/>
      <c r="AD71" s="2"/>
      <c r="AE71" s="2"/>
      <c r="AF71" s="2"/>
      <c r="AG71" s="2"/>
      <c r="AH71" s="2"/>
    </row>
    <row r="72" spans="2:35" ht="15.75" customHeight="1" x14ac:dyDescent="0.2">
      <c r="B72" s="363" t="s">
        <v>190</v>
      </c>
      <c r="C72" s="10" t="s">
        <v>191</v>
      </c>
      <c r="D72" s="80" t="str">
        <f>HYPERLINK("https://www.facebook.com/ZespriSG/videos/1768639353189519/","23 Jul")</f>
        <v>23 Jul</v>
      </c>
      <c r="E72" s="3">
        <v>15471</v>
      </c>
      <c r="F72" s="3">
        <v>56976</v>
      </c>
      <c r="G72" s="3">
        <v>107785</v>
      </c>
      <c r="H72" s="29">
        <f t="shared" ref="H72:H87" si="16">E72/G72</f>
        <v>0.14353574245024817</v>
      </c>
      <c r="I72" s="94">
        <v>15455</v>
      </c>
      <c r="J72" s="25">
        <f t="shared" ref="J72" si="17">I72/G72</f>
        <v>0.14338729878925638</v>
      </c>
      <c r="K72" s="3">
        <v>4874</v>
      </c>
      <c r="L72" s="25">
        <f t="shared" ref="L72:L87" si="18">K72/G72</f>
        <v>4.5219650229623785E-2</v>
      </c>
      <c r="M72" s="25">
        <v>0.16465185322633019</v>
      </c>
      <c r="N72" s="25">
        <v>8.0873962054089157E-2</v>
      </c>
      <c r="O72" s="25">
        <v>5.6334369346384007E-2</v>
      </c>
      <c r="P72" s="25">
        <v>4.3178549890986684E-2</v>
      </c>
      <c r="Q72" s="3">
        <v>12</v>
      </c>
      <c r="R72" s="3" t="s">
        <v>34</v>
      </c>
      <c r="S72" s="3">
        <v>0</v>
      </c>
      <c r="T72" s="3">
        <v>15</v>
      </c>
      <c r="U72" s="3">
        <v>1</v>
      </c>
      <c r="V72" s="3">
        <v>495</v>
      </c>
      <c r="W72" s="22">
        <v>741.35</v>
      </c>
      <c r="X72" s="22">
        <v>741.34274999999991</v>
      </c>
      <c r="Y72" s="22">
        <f t="shared" ref="Y72:Y89" si="19">W72-X72</f>
        <v>7.2500000001127773E-3</v>
      </c>
      <c r="Z72" s="10">
        <v>2</v>
      </c>
      <c r="AA72" s="2"/>
      <c r="AB72" s="2"/>
      <c r="AC72" s="2"/>
      <c r="AD72" s="2"/>
      <c r="AE72" s="2"/>
      <c r="AF72" s="2"/>
      <c r="AG72" s="2"/>
      <c r="AH72" s="2"/>
      <c r="AI72" s="2"/>
    </row>
    <row r="73" spans="2:35" ht="15.75" customHeight="1" x14ac:dyDescent="0.2">
      <c r="B73" s="364"/>
      <c r="C73" s="10" t="s">
        <v>192</v>
      </c>
      <c r="D73" s="176" t="str">
        <f>HYPERLINK("https://www.facebook.com/ZespriSG/videos/1821600964560024/","31 Jul")</f>
        <v>31 Jul</v>
      </c>
      <c r="E73" s="3">
        <v>63301</v>
      </c>
      <c r="F73" s="3">
        <v>144128</v>
      </c>
      <c r="G73" s="3">
        <v>403833</v>
      </c>
      <c r="H73" s="29">
        <f t="shared" si="16"/>
        <v>0.15675043891905813</v>
      </c>
      <c r="I73" s="94">
        <v>63242</v>
      </c>
      <c r="J73" s="25">
        <f>I73/G73</f>
        <v>0.15660433892227726</v>
      </c>
      <c r="K73" s="3">
        <v>2881</v>
      </c>
      <c r="L73" s="25">
        <f t="shared" si="18"/>
        <v>7.1341371309427415E-3</v>
      </c>
      <c r="M73" s="25">
        <v>4.9433800605695917E-2</v>
      </c>
      <c r="N73" s="25">
        <v>1.9589780924292963E-2</v>
      </c>
      <c r="O73" s="25">
        <v>1.1024359079124291E-2</v>
      </c>
      <c r="P73" s="25">
        <v>6.8221269683260161E-3</v>
      </c>
      <c r="Q73" s="3">
        <v>24</v>
      </c>
      <c r="R73" s="3" t="s">
        <v>34</v>
      </c>
      <c r="S73" s="3">
        <v>4</v>
      </c>
      <c r="T73" s="3">
        <v>50</v>
      </c>
      <c r="U73" s="3">
        <v>5</v>
      </c>
      <c r="V73" s="3">
        <v>1721</v>
      </c>
      <c r="W73" s="22">
        <v>3500</v>
      </c>
      <c r="X73" s="22">
        <v>3499.1441249999998</v>
      </c>
      <c r="Y73" s="22">
        <f t="shared" si="19"/>
        <v>0.85587500000019645</v>
      </c>
      <c r="Z73" s="10">
        <v>1</v>
      </c>
      <c r="AA73" s="2"/>
      <c r="AB73" s="2"/>
      <c r="AC73" s="2"/>
      <c r="AD73" s="2"/>
      <c r="AE73" s="2"/>
      <c r="AF73" s="2"/>
      <c r="AG73" s="2"/>
      <c r="AH73" s="2"/>
      <c r="AI73" s="2"/>
    </row>
    <row r="74" spans="2:35" ht="15.75" customHeight="1" x14ac:dyDescent="0.2">
      <c r="B74" s="364"/>
      <c r="C74" s="10" t="s">
        <v>193</v>
      </c>
      <c r="D74" s="176" t="str">
        <f>HYPERLINK("hthttps://www.facebook.com/ZespriSG/videos/1821600964560024/","31 Jul")</f>
        <v>31 Jul</v>
      </c>
      <c r="E74" s="3">
        <v>31512</v>
      </c>
      <c r="F74" s="3">
        <v>13824</v>
      </c>
      <c r="G74" s="3">
        <v>210455</v>
      </c>
      <c r="H74" s="29">
        <f t="shared" si="16"/>
        <v>0.1497327219595638</v>
      </c>
      <c r="I74" s="94">
        <v>31492</v>
      </c>
      <c r="J74" s="25">
        <f>I74/G74</f>
        <v>0.14963768976740871</v>
      </c>
      <c r="K74" s="3">
        <v>1166</v>
      </c>
      <c r="L74" s="25">
        <f t="shared" si="18"/>
        <v>5.5403768026418953E-3</v>
      </c>
      <c r="M74" s="25">
        <v>4.9392141796681686E-2</v>
      </c>
      <c r="N74" s="25">
        <v>1.8986208423410516E-2</v>
      </c>
      <c r="O74" s="25">
        <v>1.0446240200036466E-2</v>
      </c>
      <c r="P74" s="25">
        <v>6.3536972885682285E-3</v>
      </c>
      <c r="Q74" s="3">
        <v>7</v>
      </c>
      <c r="R74" s="3" t="s">
        <v>34</v>
      </c>
      <c r="S74" s="3">
        <v>0</v>
      </c>
      <c r="T74" s="3">
        <v>19</v>
      </c>
      <c r="U74" s="3">
        <v>1</v>
      </c>
      <c r="V74" s="3">
        <v>689</v>
      </c>
      <c r="W74" s="22">
        <v>1482.7</v>
      </c>
      <c r="X74" s="22">
        <v>1482.6</v>
      </c>
      <c r="Y74" s="22">
        <f t="shared" si="19"/>
        <v>0.10000000000013642</v>
      </c>
      <c r="Z74" s="10">
        <v>1</v>
      </c>
      <c r="AA74" s="2"/>
      <c r="AB74" s="2"/>
      <c r="AC74" s="2"/>
      <c r="AD74" s="2"/>
      <c r="AE74" s="2"/>
      <c r="AF74" s="2"/>
      <c r="AG74" s="2"/>
      <c r="AH74" s="2"/>
      <c r="AI74" s="2"/>
    </row>
    <row r="75" spans="2:35" ht="15.75" customHeight="1" x14ac:dyDescent="0.2">
      <c r="B75" s="364"/>
      <c r="C75" s="10" t="s">
        <v>194</v>
      </c>
      <c r="D75" s="176" t="str">
        <f>HYPERLINK("https://www.facebook.com/ZespriSG/videos/1816663118387142/","21 Aug")</f>
        <v>21 Aug</v>
      </c>
      <c r="E75" s="3">
        <v>36230</v>
      </c>
      <c r="F75" s="3">
        <v>73264</v>
      </c>
      <c r="G75" s="3">
        <v>133677</v>
      </c>
      <c r="H75" s="29">
        <f t="shared" si="16"/>
        <v>0.27102642937827748</v>
      </c>
      <c r="I75" s="94">
        <v>36142</v>
      </c>
      <c r="J75" s="25">
        <f>I75/G75</f>
        <v>0.27036812615483591</v>
      </c>
      <c r="K75" s="3">
        <v>7634</v>
      </c>
      <c r="L75" s="25">
        <f t="shared" si="18"/>
        <v>5.7107804633557004E-2</v>
      </c>
      <c r="M75" s="25">
        <v>0.24283160154701258</v>
      </c>
      <c r="N75" s="25">
        <v>0.13592465420378974</v>
      </c>
      <c r="O75" s="25">
        <v>8.7270061416698463E-2</v>
      </c>
      <c r="P75" s="25">
        <v>5.5058087778750271E-2</v>
      </c>
      <c r="Q75" s="3">
        <v>7</v>
      </c>
      <c r="R75" s="3" t="s">
        <v>34</v>
      </c>
      <c r="S75" s="3">
        <v>0</v>
      </c>
      <c r="T75" s="3">
        <v>87</v>
      </c>
      <c r="U75" s="3">
        <v>1</v>
      </c>
      <c r="V75" s="3">
        <v>660</v>
      </c>
      <c r="W75" s="22">
        <v>741.35</v>
      </c>
      <c r="X75" s="22">
        <v>741.34274999999991</v>
      </c>
      <c r="Y75" s="22">
        <f t="shared" si="19"/>
        <v>7.2500000001127773E-3</v>
      </c>
      <c r="Z75" s="10">
        <v>3</v>
      </c>
      <c r="AA75" s="2"/>
      <c r="AB75" s="2"/>
      <c r="AC75" s="2"/>
      <c r="AD75" s="2"/>
      <c r="AE75" s="2"/>
      <c r="AF75" s="2"/>
      <c r="AG75" s="2"/>
      <c r="AH75" s="2"/>
      <c r="AI75" s="2"/>
    </row>
    <row r="76" spans="2:35" ht="15.75" customHeight="1" x14ac:dyDescent="0.2">
      <c r="B76" s="364"/>
      <c r="C76" s="10" t="s">
        <v>195</v>
      </c>
      <c r="D76" s="176" t="str">
        <f>HYPERLINK("https://www.facebook.com/ZespriSG/videos/1788742021179252/","27 Aug")</f>
        <v>27 Aug</v>
      </c>
      <c r="E76" s="3">
        <v>16000</v>
      </c>
      <c r="F76" s="3">
        <v>63360</v>
      </c>
      <c r="G76" s="3">
        <v>125403</v>
      </c>
      <c r="H76" s="29">
        <f t="shared" si="16"/>
        <v>0.12758865417892715</v>
      </c>
      <c r="I76" s="94">
        <v>15950</v>
      </c>
      <c r="J76" s="25">
        <f>I76/G76</f>
        <v>0.127189939634618</v>
      </c>
      <c r="K76" s="3">
        <v>3057</v>
      </c>
      <c r="L76" s="25">
        <f t="shared" si="18"/>
        <v>2.4377407239061268E-2</v>
      </c>
      <c r="M76" s="25">
        <v>0.12845785188552108</v>
      </c>
      <c r="N76" s="25">
        <v>6.8842053220417379E-2</v>
      </c>
      <c r="O76" s="25">
        <v>4.027814326611006E-2</v>
      </c>
      <c r="P76" s="25">
        <v>2.4122229930703412E-2</v>
      </c>
      <c r="Q76" s="3">
        <v>12</v>
      </c>
      <c r="R76" s="3" t="s">
        <v>34</v>
      </c>
      <c r="S76" s="3">
        <v>0</v>
      </c>
      <c r="T76" s="3">
        <v>46</v>
      </c>
      <c r="U76" s="3">
        <v>4</v>
      </c>
      <c r="V76" s="3">
        <v>496</v>
      </c>
      <c r="W76" s="22">
        <v>741.35</v>
      </c>
      <c r="X76" s="22">
        <v>741.34274999999991</v>
      </c>
      <c r="Y76" s="22">
        <f t="shared" si="19"/>
        <v>7.2500000001127773E-3</v>
      </c>
      <c r="Z76" s="10">
        <v>1</v>
      </c>
      <c r="AA76" s="2"/>
      <c r="AB76" s="2"/>
      <c r="AC76" s="2"/>
      <c r="AD76" s="2"/>
      <c r="AE76" s="2"/>
      <c r="AF76" s="2"/>
      <c r="AG76" s="2"/>
      <c r="AH76" s="2"/>
      <c r="AI76" s="2"/>
    </row>
    <row r="77" spans="2:35" ht="15.75" customHeight="1" x14ac:dyDescent="0.2">
      <c r="B77" s="364"/>
      <c r="C77" s="190" t="s">
        <v>196</v>
      </c>
      <c r="D77" s="191" t="str">
        <f>HYPERLINK("https://www.facebook.com/ZespriSG/videos/567497813686161/","10 Sept")</f>
        <v>10 Sept</v>
      </c>
      <c r="E77" s="3">
        <v>8810</v>
      </c>
      <c r="F77" s="3">
        <v>128860</v>
      </c>
      <c r="G77" s="3">
        <v>147403</v>
      </c>
      <c r="H77" s="29">
        <f t="shared" si="16"/>
        <v>5.9768118695006207E-2</v>
      </c>
      <c r="I77" s="94">
        <v>8739</v>
      </c>
      <c r="J77" s="25">
        <f t="shared" ref="J77:J89" si="20">I77/G77</f>
        <v>5.9286446001777439E-2</v>
      </c>
      <c r="K77" s="3">
        <v>657</v>
      </c>
      <c r="L77" s="25">
        <f t="shared" si="18"/>
        <v>4.4571684429760587E-3</v>
      </c>
      <c r="M77" s="25">
        <v>1.8574927240286834E-2</v>
      </c>
      <c r="N77" s="25">
        <v>8.9211210083919596E-3</v>
      </c>
      <c r="O77" s="25">
        <v>5.0948759523211876E-3</v>
      </c>
      <c r="P77" s="25">
        <v>3.7109149745934615E-3</v>
      </c>
      <c r="Q77" s="3">
        <v>7</v>
      </c>
      <c r="R77" s="3" t="s">
        <v>34</v>
      </c>
      <c r="S77" s="3">
        <v>1</v>
      </c>
      <c r="T77" s="3">
        <v>24</v>
      </c>
      <c r="U77" s="3">
        <v>2</v>
      </c>
      <c r="V77" s="3">
        <v>551</v>
      </c>
      <c r="W77" s="22">
        <v>840</v>
      </c>
      <c r="X77" s="22">
        <v>846.88124999999991</v>
      </c>
      <c r="Y77" s="22">
        <f t="shared" si="19"/>
        <v>-6.8812499999999091</v>
      </c>
      <c r="Z77" s="10">
        <v>3</v>
      </c>
      <c r="AA77" s="2"/>
      <c r="AB77" s="2"/>
      <c r="AC77" s="2"/>
      <c r="AD77" s="2"/>
      <c r="AE77" s="2"/>
      <c r="AF77" s="2"/>
      <c r="AG77" s="2"/>
      <c r="AH77" s="2"/>
      <c r="AI77" s="2"/>
    </row>
    <row r="78" spans="2:35" ht="27.75" customHeight="1" x14ac:dyDescent="0.2">
      <c r="B78" s="364"/>
      <c r="C78" s="192" t="s">
        <v>197</v>
      </c>
      <c r="D78" s="191" t="str">
        <f>HYPERLINK("https://www.facebook.com/ZespriSG/videos/527933220967545/","19 Sept")</f>
        <v>19 Sept</v>
      </c>
      <c r="E78" s="3">
        <v>6330</v>
      </c>
      <c r="F78" s="3">
        <v>26456</v>
      </c>
      <c r="G78" s="3">
        <v>30925</v>
      </c>
      <c r="H78" s="29">
        <f t="shared" si="16"/>
        <v>0.20468876313662085</v>
      </c>
      <c r="I78" s="94">
        <v>6312</v>
      </c>
      <c r="J78" s="25">
        <f t="shared" si="20"/>
        <v>0.20410670978172998</v>
      </c>
      <c r="K78" s="3">
        <v>2603</v>
      </c>
      <c r="L78" s="25">
        <f t="shared" si="18"/>
        <v>8.4171382376717868E-2</v>
      </c>
      <c r="M78" s="25">
        <v>0.15139854486661278</v>
      </c>
      <c r="N78" s="25">
        <v>0.10855295068714632</v>
      </c>
      <c r="O78" s="25">
        <v>9.2708164915117214E-2</v>
      </c>
      <c r="P78" s="25">
        <v>8.3427647534357316E-2</v>
      </c>
      <c r="Q78" s="3">
        <v>0</v>
      </c>
      <c r="R78" s="3" t="s">
        <v>34</v>
      </c>
      <c r="S78" s="3">
        <v>0</v>
      </c>
      <c r="T78" s="3">
        <v>13</v>
      </c>
      <c r="U78" s="3">
        <v>5</v>
      </c>
      <c r="V78" s="3">
        <v>421</v>
      </c>
      <c r="W78" s="22">
        <f>X78</f>
        <v>293.755875</v>
      </c>
      <c r="X78" s="22">
        <v>293.755875</v>
      </c>
      <c r="Y78" s="22">
        <f t="shared" si="19"/>
        <v>0</v>
      </c>
      <c r="Z78" s="10">
        <v>3</v>
      </c>
      <c r="AA78" s="2"/>
      <c r="AB78" s="2"/>
      <c r="AC78" s="2"/>
      <c r="AD78" s="2"/>
      <c r="AE78" s="2"/>
      <c r="AF78" s="2"/>
      <c r="AG78" s="2"/>
      <c r="AH78" s="2"/>
      <c r="AI78" s="2"/>
    </row>
    <row r="79" spans="2:35" ht="15.75" customHeight="1" x14ac:dyDescent="0.2">
      <c r="B79" s="364"/>
      <c r="C79" s="10" t="s">
        <v>198</v>
      </c>
      <c r="D79" s="176" t="str">
        <f>HYPERLINK("https://www.facebook.com/ZespriSG/videos/567269370359209/","20 Sept")</f>
        <v>20 Sept</v>
      </c>
      <c r="E79" s="3">
        <v>13127</v>
      </c>
      <c r="F79" s="3">
        <v>59408</v>
      </c>
      <c r="G79" s="3">
        <v>98549</v>
      </c>
      <c r="H79" s="29">
        <f t="shared" si="16"/>
        <v>0.13320277222498453</v>
      </c>
      <c r="I79" s="94">
        <v>13003</v>
      </c>
      <c r="J79" s="25">
        <f t="shared" si="20"/>
        <v>0.13194451491136389</v>
      </c>
      <c r="K79" s="3">
        <v>9535</v>
      </c>
      <c r="L79" s="25">
        <f t="shared" si="18"/>
        <v>9.6753899075586763E-2</v>
      </c>
      <c r="M79" s="25">
        <v>0.5691787841581345</v>
      </c>
      <c r="N79" s="25">
        <v>0.25035261646490581</v>
      </c>
      <c r="O79" s="25">
        <v>0.15355812844371836</v>
      </c>
      <c r="P79" s="25">
        <v>0.10970177272219911</v>
      </c>
      <c r="Q79" s="3">
        <v>0</v>
      </c>
      <c r="R79" s="3" t="s">
        <v>34</v>
      </c>
      <c r="S79" s="3">
        <v>1</v>
      </c>
      <c r="T79" s="3">
        <v>16</v>
      </c>
      <c r="U79" s="3">
        <v>5</v>
      </c>
      <c r="V79" s="3">
        <v>1840</v>
      </c>
      <c r="W79" s="22">
        <v>741.35</v>
      </c>
      <c r="X79" s="22">
        <v>741.34274999999991</v>
      </c>
      <c r="Y79" s="22">
        <f t="shared" si="19"/>
        <v>7.2500000001127773E-3</v>
      </c>
      <c r="Z79" s="10">
        <v>5</v>
      </c>
      <c r="AA79" s="2"/>
      <c r="AB79" s="2"/>
      <c r="AC79" s="2"/>
      <c r="AD79" s="2"/>
      <c r="AE79" s="2"/>
      <c r="AF79" s="2"/>
      <c r="AG79" s="2"/>
      <c r="AH79" s="2"/>
      <c r="AI79" s="2"/>
    </row>
    <row r="80" spans="2:35" ht="15.75" customHeight="1" x14ac:dyDescent="0.2">
      <c r="B80" s="364"/>
      <c r="C80" s="190" t="s">
        <v>199</v>
      </c>
      <c r="D80" s="191" t="str">
        <f>HYPERLINK("
https://www.facebook.com/483467011706766/posts/1901691719884281/","22 Sept")</f>
        <v>22 Sept</v>
      </c>
      <c r="E80" s="3">
        <v>16114</v>
      </c>
      <c r="F80" s="3">
        <v>78576</v>
      </c>
      <c r="G80" s="3">
        <v>148032</v>
      </c>
      <c r="H80" s="29">
        <f t="shared" si="16"/>
        <v>0.10885484219628189</v>
      </c>
      <c r="I80" s="94">
        <v>16017</v>
      </c>
      <c r="J80" s="25">
        <f t="shared" si="20"/>
        <v>0.10819957846952011</v>
      </c>
      <c r="K80" s="3">
        <v>5384</v>
      </c>
      <c r="L80" s="25">
        <f t="shared" si="18"/>
        <v>3.6370514483354953E-2</v>
      </c>
      <c r="M80" s="25">
        <v>0.13589629269347167</v>
      </c>
      <c r="N80" s="25">
        <v>7.4936500216169474E-2</v>
      </c>
      <c r="O80" s="25">
        <v>5.0191850410722008E-2</v>
      </c>
      <c r="P80" s="25">
        <v>3.5215358841331604E-2</v>
      </c>
      <c r="Q80" s="3">
        <v>1</v>
      </c>
      <c r="R80" s="3" t="s">
        <v>34</v>
      </c>
      <c r="S80" s="3">
        <v>0</v>
      </c>
      <c r="T80" s="3">
        <v>28</v>
      </c>
      <c r="U80" s="3">
        <v>4</v>
      </c>
      <c r="V80" s="3">
        <v>802</v>
      </c>
      <c r="W80" s="22">
        <f>604.06 + 854.06-X78</f>
        <v>1164.3641249999998</v>
      </c>
      <c r="X80" s="22">
        <v>1003.937625</v>
      </c>
      <c r="Y80" s="22">
        <f t="shared" si="19"/>
        <v>160.42649999999981</v>
      </c>
      <c r="Z80" s="10">
        <v>2</v>
      </c>
      <c r="AA80" s="2"/>
      <c r="AB80" s="2"/>
      <c r="AC80" s="2"/>
      <c r="AD80" s="2"/>
      <c r="AE80" s="2"/>
      <c r="AF80" s="2"/>
      <c r="AG80" s="2"/>
      <c r="AH80" s="2"/>
      <c r="AI80" s="2"/>
    </row>
    <row r="81" spans="2:35" ht="15.75" customHeight="1" x14ac:dyDescent="0.2">
      <c r="B81" s="364"/>
      <c r="C81" s="10" t="s">
        <v>200</v>
      </c>
      <c r="D81" s="176" t="str">
        <f>HYPERLINK("https://www.facebook.com/ZespriSG/videos/1816663798387074/","24 Sept")</f>
        <v>24 Sept</v>
      </c>
      <c r="E81" s="3">
        <v>34028</v>
      </c>
      <c r="F81" s="3">
        <v>87904</v>
      </c>
      <c r="G81" s="3">
        <v>129296</v>
      </c>
      <c r="H81" s="29">
        <f t="shared" si="16"/>
        <v>0.26317906199727759</v>
      </c>
      <c r="I81" s="94">
        <v>33915</v>
      </c>
      <c r="J81" s="25">
        <f t="shared" si="20"/>
        <v>0.26230509837891353</v>
      </c>
      <c r="K81" s="3">
        <v>6917</v>
      </c>
      <c r="L81" s="25">
        <f t="shared" si="18"/>
        <v>5.3497401311718845E-2</v>
      </c>
      <c r="M81" s="25">
        <v>0.22775646578393763</v>
      </c>
      <c r="N81" s="25">
        <v>0.10025832198985274</v>
      </c>
      <c r="O81" s="25">
        <v>7.8772738522460098E-2</v>
      </c>
      <c r="P81" s="25">
        <v>5.1099802004702391E-2</v>
      </c>
      <c r="Q81" s="3">
        <v>0</v>
      </c>
      <c r="R81" s="3" t="s">
        <v>34</v>
      </c>
      <c r="S81" s="3">
        <v>0</v>
      </c>
      <c r="T81" s="3">
        <v>107</v>
      </c>
      <c r="U81" s="3">
        <v>6</v>
      </c>
      <c r="V81" s="3">
        <v>600</v>
      </c>
      <c r="W81" s="22">
        <v>741.35</v>
      </c>
      <c r="X81" s="22">
        <v>741.34274999999991</v>
      </c>
      <c r="Y81" s="22">
        <f t="shared" si="19"/>
        <v>7.2500000001127773E-3</v>
      </c>
      <c r="Z81" s="10">
        <v>2</v>
      </c>
      <c r="AA81" s="2"/>
      <c r="AB81" s="2"/>
      <c r="AC81" s="2"/>
      <c r="AD81" s="2"/>
      <c r="AE81" s="2"/>
      <c r="AF81" s="2"/>
      <c r="AG81" s="2"/>
      <c r="AH81" s="2"/>
      <c r="AI81" s="2"/>
    </row>
    <row r="82" spans="2:35" ht="15.75" customHeight="1" x14ac:dyDescent="0.2">
      <c r="B82" s="364"/>
      <c r="C82" s="10" t="s">
        <v>201</v>
      </c>
      <c r="D82" s="176" t="str">
        <f>HYPERLINK("https://www.facebook.com/ZespriSG/videos/145196289766975/","5 Oct")</f>
        <v>5 Oct</v>
      </c>
      <c r="E82" s="3">
        <v>34273</v>
      </c>
      <c r="F82" s="3">
        <v>105791</v>
      </c>
      <c r="G82" s="3">
        <v>146877</v>
      </c>
      <c r="H82" s="29">
        <f t="shared" si="16"/>
        <v>0.2333449076438108</v>
      </c>
      <c r="I82" s="94">
        <v>34072</v>
      </c>
      <c r="J82" s="25">
        <f t="shared" si="20"/>
        <v>0.23197641564029767</v>
      </c>
      <c r="K82" s="3">
        <v>21250</v>
      </c>
      <c r="L82" s="25">
        <f t="shared" si="18"/>
        <v>0.14467888096842937</v>
      </c>
      <c r="M82" s="25">
        <v>0.53582249092778311</v>
      </c>
      <c r="N82" s="25">
        <v>0.29141390415109242</v>
      </c>
      <c r="O82" s="25">
        <v>0.20099811406823395</v>
      </c>
      <c r="P82" s="25">
        <v>0.14787883739455462</v>
      </c>
      <c r="Q82" s="3">
        <v>0</v>
      </c>
      <c r="R82" s="3" t="s">
        <v>34</v>
      </c>
      <c r="S82" s="3">
        <v>0</v>
      </c>
      <c r="T82" s="3">
        <v>186</v>
      </c>
      <c r="U82" s="3">
        <v>15</v>
      </c>
      <c r="V82" s="3">
        <v>1161</v>
      </c>
      <c r="W82" s="22">
        <v>741.35</v>
      </c>
      <c r="X82" s="22">
        <v>741.34274999999991</v>
      </c>
      <c r="Y82" s="22">
        <f t="shared" si="19"/>
        <v>7.2500000001127773E-3</v>
      </c>
      <c r="Z82" s="10">
        <v>4</v>
      </c>
      <c r="AA82" s="2"/>
      <c r="AB82" s="2"/>
      <c r="AC82" s="2"/>
      <c r="AD82" s="2"/>
      <c r="AE82" s="2"/>
      <c r="AF82" s="2"/>
      <c r="AG82" s="2"/>
      <c r="AH82" s="2"/>
      <c r="AI82" s="2"/>
    </row>
    <row r="83" spans="2:35" ht="15.75" customHeight="1" x14ac:dyDescent="0.2">
      <c r="B83" s="364"/>
      <c r="C83" s="190" t="s">
        <v>202</v>
      </c>
      <c r="D83" s="191" t="str">
        <f>HYPERLINK("https://www.facebook.com/ZespriSG/videos/283732765576447/", "6 Oct")</f>
        <v>6 Oct</v>
      </c>
      <c r="E83" s="3">
        <v>49628</v>
      </c>
      <c r="F83" s="3">
        <v>99071</v>
      </c>
      <c r="G83" s="3">
        <v>204948</v>
      </c>
      <c r="H83" s="29">
        <f t="shared" si="16"/>
        <v>0.24214922809688311</v>
      </c>
      <c r="I83" s="94">
        <v>49537</v>
      </c>
      <c r="J83" s="25">
        <f t="shared" si="20"/>
        <v>0.24170521302964654</v>
      </c>
      <c r="K83" s="3">
        <v>3747</v>
      </c>
      <c r="L83" s="25">
        <f t="shared" si="18"/>
        <v>1.8282686339949644E-2</v>
      </c>
      <c r="M83" s="25">
        <v>3.8370708667564458E-2</v>
      </c>
      <c r="N83" s="25">
        <v>2.0312469504459668E-2</v>
      </c>
      <c r="O83" s="25">
        <v>1.2110388976716045E-2</v>
      </c>
      <c r="P83" s="25">
        <v>7.6702383043503715E-3</v>
      </c>
      <c r="Q83" s="3">
        <v>1</v>
      </c>
      <c r="R83" s="3" t="s">
        <v>34</v>
      </c>
      <c r="S83" s="3">
        <v>2</v>
      </c>
      <c r="T83" s="3">
        <v>81</v>
      </c>
      <c r="U83" s="3">
        <v>8</v>
      </c>
      <c r="V83" s="3">
        <v>1191</v>
      </c>
      <c r="W83" s="22">
        <v>1756.84</v>
      </c>
      <c r="X83" s="22">
        <v>1755.4499999999998</v>
      </c>
      <c r="Y83" s="22">
        <f t="shared" si="19"/>
        <v>1.3900000000001</v>
      </c>
      <c r="Z83" s="10">
        <v>1</v>
      </c>
      <c r="AA83" s="2"/>
      <c r="AB83" s="2"/>
      <c r="AC83" s="2"/>
      <c r="AD83" s="2"/>
      <c r="AE83" s="2"/>
      <c r="AF83" s="2"/>
      <c r="AG83" s="2"/>
      <c r="AH83" s="2"/>
      <c r="AI83" s="2"/>
    </row>
    <row r="84" spans="2:35" ht="15.75" customHeight="1" x14ac:dyDescent="0.2">
      <c r="B84" s="364"/>
      <c r="C84" s="10" t="s">
        <v>203</v>
      </c>
      <c r="D84" s="176" t="str">
        <f>HYPERLINK("https://www.facebook.com/483467011706766/posts/1920370704683049/","8 Oct")</f>
        <v>8 Oct</v>
      </c>
      <c r="E84" s="3">
        <v>24624</v>
      </c>
      <c r="F84" s="3">
        <v>88080</v>
      </c>
      <c r="G84" s="3">
        <v>121884</v>
      </c>
      <c r="H84" s="29">
        <f t="shared" si="16"/>
        <v>0.20202815792064585</v>
      </c>
      <c r="I84" s="94">
        <v>24519</v>
      </c>
      <c r="J84" s="25">
        <f t="shared" si="20"/>
        <v>0.20116668307571134</v>
      </c>
      <c r="K84" s="3">
        <v>14059</v>
      </c>
      <c r="L84" s="25">
        <f t="shared" si="18"/>
        <v>0.11534737947556693</v>
      </c>
      <c r="M84" s="25">
        <v>0.20438285583013358</v>
      </c>
      <c r="N84" s="25">
        <v>0.15297331889337404</v>
      </c>
      <c r="O84" s="25">
        <v>0.13443930294378262</v>
      </c>
      <c r="P84" s="25">
        <v>0.11348495290604181</v>
      </c>
      <c r="Q84" s="3">
        <v>0</v>
      </c>
      <c r="R84" s="3" t="s">
        <v>34</v>
      </c>
      <c r="S84" s="3">
        <v>0</v>
      </c>
      <c r="T84" s="3">
        <v>100</v>
      </c>
      <c r="U84" s="3">
        <v>5</v>
      </c>
      <c r="V84" s="3">
        <v>1025</v>
      </c>
      <c r="W84" s="22">
        <v>741.35</v>
      </c>
      <c r="X84" s="22">
        <v>740.25</v>
      </c>
      <c r="Y84" s="22">
        <f t="shared" si="19"/>
        <v>1.1000000000000227</v>
      </c>
      <c r="Z84" s="10">
        <v>3</v>
      </c>
      <c r="AA84" s="2"/>
      <c r="AB84" s="2"/>
      <c r="AC84" s="2"/>
      <c r="AD84" s="2"/>
      <c r="AE84" s="2"/>
      <c r="AF84" s="2"/>
      <c r="AG84" s="2"/>
      <c r="AH84" s="2"/>
      <c r="AI84" s="2"/>
    </row>
    <row r="85" spans="2:35" ht="15.75" customHeight="1" x14ac:dyDescent="0.2">
      <c r="B85" s="364"/>
      <c r="C85" s="10" t="s">
        <v>204</v>
      </c>
      <c r="D85" s="176" t="str">
        <f>HYPERLINK("https://www.facebook.com/483467011706766/posts/1934005193319600/","22 Oct")</f>
        <v>22 Oct</v>
      </c>
      <c r="E85" s="3">
        <v>26436</v>
      </c>
      <c r="F85" s="3">
        <v>82623</v>
      </c>
      <c r="G85" s="3">
        <v>121564</v>
      </c>
      <c r="H85" s="29">
        <f t="shared" si="16"/>
        <v>0.21746569708137278</v>
      </c>
      <c r="I85" s="94">
        <v>26280</v>
      </c>
      <c r="J85" s="25">
        <f t="shared" si="20"/>
        <v>0.21618242242769242</v>
      </c>
      <c r="K85" s="3">
        <v>4325</v>
      </c>
      <c r="L85" s="25">
        <f t="shared" si="18"/>
        <v>3.5577967161330659E-2</v>
      </c>
      <c r="M85" s="25">
        <v>0.2326346615774407</v>
      </c>
      <c r="N85" s="25">
        <v>0.10372314171958803</v>
      </c>
      <c r="O85" s="25">
        <v>6.3505643118028365E-2</v>
      </c>
      <c r="P85" s="25">
        <v>3.7075120923957754E-2</v>
      </c>
      <c r="Q85" s="3">
        <v>0</v>
      </c>
      <c r="R85" s="3" t="s">
        <v>34</v>
      </c>
      <c r="S85" s="3">
        <v>1</v>
      </c>
      <c r="T85" s="3">
        <v>152</v>
      </c>
      <c r="U85" s="3">
        <v>3</v>
      </c>
      <c r="V85" s="3">
        <v>1206</v>
      </c>
      <c r="W85" s="22">
        <v>741.35</v>
      </c>
      <c r="X85" s="22">
        <v>740.91975000000002</v>
      </c>
      <c r="Y85" s="22">
        <f t="shared" si="19"/>
        <v>0.43025000000000091</v>
      </c>
      <c r="Z85" s="10">
        <v>3</v>
      </c>
      <c r="AA85" s="2"/>
      <c r="AB85" s="2"/>
      <c r="AC85" s="2"/>
      <c r="AD85" s="2"/>
      <c r="AE85" s="2"/>
      <c r="AF85" s="2"/>
      <c r="AG85" s="2"/>
      <c r="AH85" s="2"/>
      <c r="AI85" s="2"/>
    </row>
    <row r="86" spans="2:35" ht="15.75" customHeight="1" x14ac:dyDescent="0.2">
      <c r="B86" s="364"/>
      <c r="C86" s="10" t="s">
        <v>111</v>
      </c>
      <c r="D86" s="176" t="str">
        <f>HYPERLINK("https://www.facebook.com/483467011706766/posts/1926879837365469/","24 Oct")</f>
        <v>24 Oct</v>
      </c>
      <c r="E86" s="3">
        <v>20291</v>
      </c>
      <c r="F86" s="3">
        <v>81663</v>
      </c>
      <c r="G86" s="3">
        <v>129278</v>
      </c>
      <c r="H86" s="29">
        <f t="shared" si="16"/>
        <v>0.15695632667584586</v>
      </c>
      <c r="I86" s="94">
        <v>20129</v>
      </c>
      <c r="J86" s="25">
        <f t="shared" si="20"/>
        <v>0.1557032132304027</v>
      </c>
      <c r="K86" s="3">
        <v>12376</v>
      </c>
      <c r="L86" s="25">
        <f t="shared" si="18"/>
        <v>9.5731679017311527E-2</v>
      </c>
      <c r="M86" s="25">
        <v>0.4118024721917109</v>
      </c>
      <c r="N86" s="25">
        <v>0.20435031482541499</v>
      </c>
      <c r="O86" s="25">
        <v>0.13570754498058449</v>
      </c>
      <c r="P86" s="25">
        <v>9.918934389455282E-2</v>
      </c>
      <c r="Q86" s="3">
        <v>0</v>
      </c>
      <c r="R86" s="3" t="s">
        <v>34</v>
      </c>
      <c r="S86" s="3">
        <v>0</v>
      </c>
      <c r="T86" s="3">
        <v>76</v>
      </c>
      <c r="U86" s="3">
        <v>3</v>
      </c>
      <c r="V86" s="3">
        <v>793</v>
      </c>
      <c r="W86" s="22">
        <v>741.35</v>
      </c>
      <c r="X86" s="22">
        <v>741.34274999999991</v>
      </c>
      <c r="Y86" s="22">
        <f t="shared" si="19"/>
        <v>7.2500000001127773E-3</v>
      </c>
      <c r="Z86" s="10">
        <v>3</v>
      </c>
      <c r="AA86" s="2"/>
      <c r="AB86" s="2"/>
      <c r="AC86" s="2"/>
      <c r="AD86" s="2"/>
      <c r="AE86" s="2"/>
      <c r="AF86" s="2"/>
      <c r="AG86" s="2"/>
      <c r="AH86" s="2"/>
      <c r="AI86" s="2"/>
    </row>
    <row r="87" spans="2:35" ht="15.75" customHeight="1" x14ac:dyDescent="0.2">
      <c r="B87" s="364"/>
      <c r="C87" s="10" t="s">
        <v>205</v>
      </c>
      <c r="D87" s="176" t="str">
        <f>HYPERLINK("https://www.facebook.com/483467011706766/posts/1926880747365378/","29 Oct")</f>
        <v>29 Oct</v>
      </c>
      <c r="E87" s="3">
        <v>3617</v>
      </c>
      <c r="F87" s="3">
        <v>26424</v>
      </c>
      <c r="G87" s="3">
        <v>32505</v>
      </c>
      <c r="H87" s="29">
        <f t="shared" si="16"/>
        <v>0.11127518843254884</v>
      </c>
      <c r="I87" s="94">
        <v>3594</v>
      </c>
      <c r="J87" s="25">
        <f t="shared" si="20"/>
        <v>0.11056760498384864</v>
      </c>
      <c r="K87" s="3">
        <v>593</v>
      </c>
      <c r="L87" s="25">
        <f t="shared" si="18"/>
        <v>1.824334717735733E-2</v>
      </c>
      <c r="M87" s="25">
        <v>0.11588986309798492</v>
      </c>
      <c r="N87" s="25">
        <v>5.7529610829103212E-2</v>
      </c>
      <c r="O87" s="25">
        <v>3.790186125211506E-2</v>
      </c>
      <c r="P87" s="25">
        <v>2.7134287032764191E-2</v>
      </c>
      <c r="Q87" s="3">
        <v>0</v>
      </c>
      <c r="R87" s="3" t="s">
        <v>34</v>
      </c>
      <c r="S87" s="3">
        <v>0</v>
      </c>
      <c r="T87" s="3">
        <v>22</v>
      </c>
      <c r="U87" s="3">
        <v>1</v>
      </c>
      <c r="V87" s="3">
        <v>183</v>
      </c>
      <c r="W87" s="22">
        <v>741.35</v>
      </c>
      <c r="X87" s="22">
        <v>741.34274999999991</v>
      </c>
      <c r="Y87" s="22">
        <f t="shared" si="19"/>
        <v>7.2500000001127773E-3</v>
      </c>
      <c r="Z87" s="10">
        <v>3</v>
      </c>
      <c r="AA87" s="2"/>
      <c r="AB87" s="2"/>
      <c r="AC87" s="2"/>
      <c r="AD87" s="2"/>
      <c r="AE87" s="2"/>
      <c r="AF87" s="2"/>
      <c r="AG87" s="2"/>
      <c r="AH87" s="2"/>
      <c r="AI87" s="2"/>
    </row>
    <row r="88" spans="2:35" ht="15.75" hidden="1" customHeight="1" x14ac:dyDescent="0.2">
      <c r="B88" s="364"/>
      <c r="C88" s="10"/>
      <c r="D88" s="176"/>
      <c r="E88" s="3"/>
      <c r="F88" s="3"/>
      <c r="G88" s="3"/>
      <c r="H88" s="29"/>
      <c r="I88" s="94"/>
      <c r="J88" s="25" t="e">
        <f t="shared" si="20"/>
        <v>#DIV/0!</v>
      </c>
      <c r="K88" s="3"/>
      <c r="L88" s="25"/>
      <c r="M88" s="25"/>
      <c r="N88" s="25"/>
      <c r="O88" s="25"/>
      <c r="P88" s="25"/>
      <c r="Q88" s="3"/>
      <c r="R88" s="3"/>
      <c r="S88" s="3"/>
      <c r="T88" s="3"/>
      <c r="U88" s="3"/>
      <c r="V88" s="3"/>
      <c r="W88" s="22"/>
      <c r="X88" s="22"/>
      <c r="Y88" s="22">
        <f t="shared" si="19"/>
        <v>0</v>
      </c>
      <c r="Z88" s="10"/>
      <c r="AA88" s="2"/>
      <c r="AB88" s="2"/>
      <c r="AC88" s="2"/>
      <c r="AD88" s="2"/>
      <c r="AE88" s="2"/>
      <c r="AF88" s="2"/>
      <c r="AG88" s="2"/>
      <c r="AH88" s="2"/>
      <c r="AI88" s="2"/>
    </row>
    <row r="89" spans="2:35" ht="15.75" hidden="1" customHeight="1" x14ac:dyDescent="0.2">
      <c r="B89" s="365"/>
      <c r="C89" s="10"/>
      <c r="D89" s="176"/>
      <c r="E89" s="3"/>
      <c r="F89" s="3"/>
      <c r="G89" s="3"/>
      <c r="H89" s="27"/>
      <c r="I89" s="94"/>
      <c r="J89" s="25" t="e">
        <f t="shared" si="20"/>
        <v>#DIV/0!</v>
      </c>
      <c r="K89" s="3"/>
      <c r="L89" s="25"/>
      <c r="M89" s="25"/>
      <c r="N89" s="25"/>
      <c r="O89" s="25"/>
      <c r="P89" s="25"/>
      <c r="Q89" s="3"/>
      <c r="R89" s="3"/>
      <c r="S89" s="3"/>
      <c r="T89" s="3"/>
      <c r="U89" s="3"/>
      <c r="V89" s="3"/>
      <c r="W89" s="22"/>
      <c r="X89" s="22"/>
      <c r="Y89" s="22">
        <f t="shared" si="19"/>
        <v>0</v>
      </c>
      <c r="Z89" s="10"/>
      <c r="AA89" s="2"/>
      <c r="AB89" s="2"/>
      <c r="AC89" s="2"/>
      <c r="AD89" s="2"/>
      <c r="AE89" s="2"/>
      <c r="AF89" s="2"/>
      <c r="AG89" s="2"/>
      <c r="AH89" s="2"/>
      <c r="AI89" s="2"/>
    </row>
    <row r="90" spans="2:35" ht="15.75" customHeight="1" x14ac:dyDescent="0.2">
      <c r="B90" s="360" t="s">
        <v>120</v>
      </c>
      <c r="C90" s="361"/>
      <c r="D90" s="362"/>
      <c r="E90" s="72">
        <f>SUM(E72:E89)</f>
        <v>399792</v>
      </c>
      <c r="F90" s="72">
        <f>SUM(F72:F89)</f>
        <v>1216408</v>
      </c>
      <c r="G90" s="72">
        <f>SUM(G72:G89)</f>
        <v>2292414</v>
      </c>
      <c r="H90" s="73">
        <f>AVERAGE(H72:H89)</f>
        <v>0.17384669068670955</v>
      </c>
      <c r="I90" s="72">
        <f>SUM(I72:I89)</f>
        <v>398398</v>
      </c>
      <c r="J90" s="73">
        <f>IFERROR(AVERAGE(J72:J89),0)</f>
        <v>0</v>
      </c>
      <c r="K90" s="72">
        <f>SUM(K72:K89)</f>
        <v>101058</v>
      </c>
      <c r="L90" s="73">
        <f>IFERROR(AVERAGE(L72:L89),0)</f>
        <v>5.2655730116632916E-2</v>
      </c>
      <c r="M90" s="73">
        <f>IFERROR(AVERAGE(M72:M89),0)</f>
        <v>0.20477970725601893</v>
      </c>
      <c r="N90" s="73">
        <f>IFERROR(AVERAGE(N72:N89),0)</f>
        <v>0.10609630806971866</v>
      </c>
      <c r="O90" s="73">
        <f>IFERROR(AVERAGE(O72:O89),0)</f>
        <v>7.3146361680759553E-2</v>
      </c>
      <c r="P90" s="73">
        <f>IFERROR(AVERAGE(P72:P89),0)</f>
        <v>5.3195185524421248E-2</v>
      </c>
      <c r="Q90" s="72">
        <f t="shared" ref="Q90:X90" si="21">SUM(Q72:Q89)</f>
        <v>71</v>
      </c>
      <c r="R90" s="72">
        <f t="shared" si="21"/>
        <v>0</v>
      </c>
      <c r="S90" s="72">
        <f t="shared" si="21"/>
        <v>9</v>
      </c>
      <c r="T90" s="72">
        <f t="shared" si="21"/>
        <v>1022</v>
      </c>
      <c r="U90" s="72">
        <f t="shared" si="21"/>
        <v>69</v>
      </c>
      <c r="V90" s="72">
        <f t="shared" si="21"/>
        <v>13834</v>
      </c>
      <c r="W90" s="75">
        <f t="shared" si="21"/>
        <v>16451.160000000003</v>
      </c>
      <c r="X90" s="75">
        <f t="shared" si="21"/>
        <v>16293.680625000001</v>
      </c>
      <c r="Y90" s="74">
        <f>W90-X90</f>
        <v>157.47937500000262</v>
      </c>
      <c r="Z90" s="77">
        <f>AVERAGE(Z72:Z89)</f>
        <v>2.5</v>
      </c>
      <c r="AA90" s="2"/>
      <c r="AB90" s="2"/>
      <c r="AC90" s="2"/>
      <c r="AD90" s="2"/>
      <c r="AE90" s="2"/>
      <c r="AF90" s="2"/>
      <c r="AG90" s="2"/>
      <c r="AH90" s="2"/>
      <c r="AI90" s="2"/>
    </row>
    <row r="91" spans="2:35" ht="12.75" x14ac:dyDescent="0.2">
      <c r="B91" s="204" t="s">
        <v>206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6"/>
      <c r="Z91" s="2"/>
      <c r="AA91" s="2"/>
      <c r="AB91" s="2"/>
      <c r="AC91" s="2"/>
      <c r="AD91" s="2"/>
      <c r="AE91" s="2"/>
      <c r="AF91" s="2"/>
      <c r="AG91" s="2"/>
      <c r="AH91" s="2"/>
    </row>
    <row r="92" spans="2:35" ht="12.75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6"/>
      <c r="Z92" s="2"/>
      <c r="AA92" s="2"/>
      <c r="AB92" s="2"/>
      <c r="AC92" s="2"/>
      <c r="AD92" s="2"/>
      <c r="AE92" s="2"/>
      <c r="AF92" s="2"/>
      <c r="AG92" s="2"/>
      <c r="AH92" s="2"/>
    </row>
    <row r="93" spans="2:35" ht="12.75" x14ac:dyDescent="0.2">
      <c r="B93" s="352" t="s">
        <v>207</v>
      </c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2"/>
      <c r="N93" s="352"/>
      <c r="O93" s="352"/>
      <c r="P93" s="352"/>
      <c r="Q93" s="352"/>
      <c r="R93" s="352"/>
      <c r="S93" s="352"/>
      <c r="T93" s="352"/>
      <c r="U93" s="352"/>
      <c r="V93" s="352"/>
      <c r="W93" s="352"/>
      <c r="X93" s="352"/>
      <c r="Y93" s="183"/>
      <c r="Z93" s="183"/>
      <c r="AA93" s="183"/>
      <c r="AB93" s="183"/>
      <c r="AC93" s="1"/>
      <c r="AD93" s="2"/>
      <c r="AE93" s="2"/>
      <c r="AF93" s="2"/>
      <c r="AG93" s="2"/>
      <c r="AH93" s="2"/>
    </row>
    <row r="94" spans="2:35" ht="39.75" customHeight="1" x14ac:dyDescent="0.2">
      <c r="B94" s="85" t="s">
        <v>159</v>
      </c>
      <c r="C94" s="13" t="s">
        <v>62</v>
      </c>
      <c r="D94" s="13" t="s">
        <v>63</v>
      </c>
      <c r="E94" s="13" t="s">
        <v>64</v>
      </c>
      <c r="F94" s="13" t="s">
        <v>65</v>
      </c>
      <c r="G94" s="13" t="s">
        <v>66</v>
      </c>
      <c r="H94" s="13" t="s">
        <v>67</v>
      </c>
      <c r="I94" s="13" t="s">
        <v>68</v>
      </c>
      <c r="J94" s="13" t="s">
        <v>21</v>
      </c>
      <c r="K94" s="13" t="s">
        <v>69</v>
      </c>
      <c r="L94" s="13" t="s">
        <v>70</v>
      </c>
      <c r="M94" s="13" t="s">
        <v>208</v>
      </c>
      <c r="N94" s="97" t="s">
        <v>209</v>
      </c>
      <c r="O94" s="13" t="s">
        <v>75</v>
      </c>
      <c r="P94" s="13" t="s">
        <v>76</v>
      </c>
      <c r="Q94" s="13" t="s">
        <v>77</v>
      </c>
      <c r="R94" s="13" t="s">
        <v>78</v>
      </c>
      <c r="S94" s="13" t="s">
        <v>79</v>
      </c>
      <c r="T94" s="138" t="s">
        <v>80</v>
      </c>
      <c r="U94" s="13" t="s">
        <v>81</v>
      </c>
      <c r="V94" s="14" t="s">
        <v>82</v>
      </c>
      <c r="W94" s="14" t="s">
        <v>83</v>
      </c>
      <c r="X94" s="15" t="s">
        <v>84</v>
      </c>
      <c r="Y94" s="2"/>
      <c r="Z94" s="2"/>
      <c r="AA94" s="2"/>
      <c r="AB94" s="2"/>
      <c r="AC94" s="2"/>
      <c r="AD94" s="2"/>
      <c r="AE94" s="2"/>
      <c r="AF94" s="2"/>
    </row>
    <row r="95" spans="2:35" ht="12.75" x14ac:dyDescent="0.2">
      <c r="B95" s="363" t="s">
        <v>190</v>
      </c>
      <c r="C95" s="190" t="s">
        <v>210</v>
      </c>
      <c r="D95" s="191" t="str">
        <f>HYPERLINK("https://www.facebook.com/?feed_demo_ad=23843047477420097&amp;h=AQAbSH1UN6lGSiZK","7 Sept")</f>
        <v>7 Sept</v>
      </c>
      <c r="E95" s="3">
        <v>230</v>
      </c>
      <c r="F95" s="3">
        <v>16925</v>
      </c>
      <c r="G95" s="3">
        <v>26622</v>
      </c>
      <c r="H95" s="29">
        <f t="shared" ref="H95" si="22">E95/G95</f>
        <v>8.6394711141161446E-3</v>
      </c>
      <c r="I95" s="3" t="s">
        <v>34</v>
      </c>
      <c r="J95" s="25" t="s">
        <v>34</v>
      </c>
      <c r="K95" s="3" t="s">
        <v>34</v>
      </c>
      <c r="L95" s="25" t="s">
        <v>34</v>
      </c>
      <c r="M95" s="184">
        <v>87</v>
      </c>
      <c r="N95" s="188">
        <f t="shared" ref="N95:N101" si="23">V95/M95</f>
        <v>5.9969568965517235</v>
      </c>
      <c r="O95" s="3">
        <v>25</v>
      </c>
      <c r="P95" s="3">
        <v>0</v>
      </c>
      <c r="Q95" s="3">
        <v>1</v>
      </c>
      <c r="R95" s="3">
        <v>48</v>
      </c>
      <c r="S95" s="3">
        <v>10</v>
      </c>
      <c r="T95" s="139">
        <v>640</v>
      </c>
      <c r="U95" s="22">
        <v>521.57000000000005</v>
      </c>
      <c r="V95" s="22">
        <v>521.73524999999995</v>
      </c>
      <c r="W95" s="22">
        <f t="shared" ref="W95" si="24">U95-V95</f>
        <v>-0.16524999999990087</v>
      </c>
      <c r="X95" s="10">
        <v>5</v>
      </c>
      <c r="Y95" s="2"/>
      <c r="Z95" s="2"/>
      <c r="AA95" s="2"/>
      <c r="AB95" s="2"/>
      <c r="AC95" s="2"/>
      <c r="AD95" s="2"/>
      <c r="AE95" s="2"/>
      <c r="AF95" s="2"/>
    </row>
    <row r="96" spans="2:35" ht="12.75" hidden="1" x14ac:dyDescent="0.2">
      <c r="B96" s="364"/>
      <c r="C96" s="10"/>
      <c r="D96" s="176"/>
      <c r="E96" s="3"/>
      <c r="F96" s="3"/>
      <c r="G96" s="3"/>
      <c r="H96" s="29"/>
      <c r="I96" s="94"/>
      <c r="J96" s="25"/>
      <c r="K96" s="3"/>
      <c r="L96" s="25"/>
      <c r="M96" s="25"/>
      <c r="N96" s="185" t="e">
        <f t="shared" si="23"/>
        <v>#DIV/0!</v>
      </c>
      <c r="O96" s="3"/>
      <c r="P96" s="3"/>
      <c r="Q96" s="3"/>
      <c r="R96" s="3"/>
      <c r="S96" s="3"/>
      <c r="T96" s="3"/>
      <c r="U96" s="22"/>
      <c r="V96" s="22"/>
      <c r="W96" s="22"/>
      <c r="X96" s="10"/>
      <c r="Y96" s="2"/>
      <c r="Z96" s="2"/>
      <c r="AA96" s="2"/>
      <c r="AB96" s="2"/>
      <c r="AC96" s="2"/>
      <c r="AD96" s="2"/>
      <c r="AE96" s="2"/>
      <c r="AF96" s="2"/>
    </row>
    <row r="97" spans="2:34" ht="12.75" hidden="1" x14ac:dyDescent="0.2">
      <c r="B97" s="364"/>
      <c r="C97" s="10"/>
      <c r="D97" s="176"/>
      <c r="E97" s="3"/>
      <c r="F97" s="3"/>
      <c r="G97" s="3"/>
      <c r="H97" s="29"/>
      <c r="I97" s="94"/>
      <c r="J97" s="25"/>
      <c r="K97" s="3"/>
      <c r="L97" s="25"/>
      <c r="M97" s="25"/>
      <c r="N97" s="185" t="e">
        <f t="shared" si="23"/>
        <v>#DIV/0!</v>
      </c>
      <c r="O97" s="3"/>
      <c r="P97" s="3"/>
      <c r="Q97" s="3"/>
      <c r="R97" s="3"/>
      <c r="S97" s="3"/>
      <c r="T97" s="3"/>
      <c r="U97" s="22"/>
      <c r="V97" s="22"/>
      <c r="W97" s="22"/>
      <c r="X97" s="10"/>
      <c r="Y97" s="2"/>
      <c r="Z97" s="2"/>
      <c r="AA97" s="2"/>
      <c r="AB97" s="2"/>
      <c r="AC97" s="2"/>
      <c r="AD97" s="2"/>
      <c r="AE97" s="2"/>
      <c r="AF97" s="2"/>
    </row>
    <row r="98" spans="2:34" ht="12.75" hidden="1" x14ac:dyDescent="0.2">
      <c r="B98" s="364"/>
      <c r="C98" s="10"/>
      <c r="D98" s="176"/>
      <c r="E98" s="3"/>
      <c r="F98" s="3"/>
      <c r="G98" s="3"/>
      <c r="H98" s="29"/>
      <c r="I98" s="94"/>
      <c r="J98" s="25"/>
      <c r="K98" s="3"/>
      <c r="L98" s="25"/>
      <c r="M98" s="25"/>
      <c r="N98" s="185" t="e">
        <f t="shared" si="23"/>
        <v>#DIV/0!</v>
      </c>
      <c r="O98" s="3"/>
      <c r="P98" s="3"/>
      <c r="Q98" s="3"/>
      <c r="R98" s="3"/>
      <c r="S98" s="3"/>
      <c r="T98" s="3"/>
      <c r="U98" s="22"/>
      <c r="V98" s="22"/>
      <c r="W98" s="22"/>
      <c r="X98" s="10"/>
      <c r="Y98" s="2"/>
      <c r="Z98" s="2"/>
      <c r="AA98" s="2"/>
      <c r="AB98" s="2"/>
      <c r="AC98" s="2"/>
      <c r="AD98" s="2"/>
      <c r="AE98" s="2"/>
      <c r="AF98" s="2"/>
    </row>
    <row r="99" spans="2:34" ht="12.75" hidden="1" x14ac:dyDescent="0.2">
      <c r="B99" s="364"/>
      <c r="C99" s="10"/>
      <c r="D99" s="176"/>
      <c r="E99" s="3"/>
      <c r="F99" s="3"/>
      <c r="G99" s="3"/>
      <c r="H99" s="29"/>
      <c r="I99" s="94"/>
      <c r="J99" s="25"/>
      <c r="K99" s="3"/>
      <c r="L99" s="25"/>
      <c r="M99" s="25"/>
      <c r="N99" s="185" t="e">
        <f t="shared" si="23"/>
        <v>#DIV/0!</v>
      </c>
      <c r="O99" s="3"/>
      <c r="P99" s="3"/>
      <c r="Q99" s="3"/>
      <c r="R99" s="3"/>
      <c r="S99" s="3"/>
      <c r="T99" s="3"/>
      <c r="U99" s="22"/>
      <c r="V99" s="22"/>
      <c r="W99" s="22"/>
      <c r="X99" s="10"/>
      <c r="Y99" s="2"/>
      <c r="Z99" s="2"/>
      <c r="AA99" s="2"/>
      <c r="AB99" s="2"/>
      <c r="AC99" s="2"/>
      <c r="AD99" s="2"/>
      <c r="AE99" s="2"/>
      <c r="AF99" s="2"/>
    </row>
    <row r="100" spans="2:34" ht="12.75" hidden="1" x14ac:dyDescent="0.2">
      <c r="B100" s="364"/>
      <c r="C100" s="10"/>
      <c r="D100" s="176"/>
      <c r="E100" s="3"/>
      <c r="F100" s="3"/>
      <c r="G100" s="3"/>
      <c r="H100" s="29"/>
      <c r="I100" s="94"/>
      <c r="J100" s="25"/>
      <c r="K100" s="3"/>
      <c r="L100" s="25"/>
      <c r="M100" s="25"/>
      <c r="N100" s="185" t="e">
        <f t="shared" si="23"/>
        <v>#DIV/0!</v>
      </c>
      <c r="O100" s="3"/>
      <c r="P100" s="3"/>
      <c r="Q100" s="3"/>
      <c r="R100" s="3"/>
      <c r="S100" s="3"/>
      <c r="T100" s="3"/>
      <c r="U100" s="22"/>
      <c r="V100" s="22"/>
      <c r="W100" s="22"/>
      <c r="X100" s="10"/>
      <c r="Y100" s="2"/>
      <c r="Z100" s="2"/>
      <c r="AA100" s="2"/>
      <c r="AB100" s="2"/>
      <c r="AC100" s="2"/>
      <c r="AD100" s="2"/>
      <c r="AE100" s="2"/>
      <c r="AF100" s="2"/>
    </row>
    <row r="101" spans="2:34" ht="12.75" hidden="1" x14ac:dyDescent="0.2">
      <c r="B101" s="365"/>
      <c r="C101" s="10"/>
      <c r="D101" s="176"/>
      <c r="E101" s="3"/>
      <c r="F101" s="3"/>
      <c r="G101" s="3"/>
      <c r="H101" s="27"/>
      <c r="I101" s="94"/>
      <c r="J101" s="25"/>
      <c r="K101" s="3"/>
      <c r="L101" s="25"/>
      <c r="M101" s="25"/>
      <c r="N101" s="185" t="e">
        <f t="shared" si="23"/>
        <v>#DIV/0!</v>
      </c>
      <c r="O101" s="3"/>
      <c r="P101" s="3"/>
      <c r="Q101" s="3"/>
      <c r="R101" s="3"/>
      <c r="S101" s="3"/>
      <c r="T101" s="3"/>
      <c r="U101" s="22"/>
      <c r="V101" s="22"/>
      <c r="W101" s="22"/>
      <c r="X101" s="10"/>
      <c r="Y101" s="2"/>
      <c r="Z101" s="2"/>
      <c r="AA101" s="2"/>
      <c r="AB101" s="2"/>
      <c r="AC101" s="2"/>
      <c r="AD101" s="2"/>
      <c r="AE101" s="2"/>
      <c r="AF101" s="2"/>
    </row>
    <row r="102" spans="2:34" ht="12.75" x14ac:dyDescent="0.2">
      <c r="B102" s="360" t="s">
        <v>120</v>
      </c>
      <c r="C102" s="361"/>
      <c r="D102" s="362"/>
      <c r="E102" s="72">
        <f>SUM(E95:E101)</f>
        <v>230</v>
      </c>
      <c r="F102" s="72">
        <f>SUM(F95:F101)</f>
        <v>16925</v>
      </c>
      <c r="G102" s="72">
        <f>SUM(G95:G101)</f>
        <v>26622</v>
      </c>
      <c r="H102" s="73">
        <f>AVERAGE(H95:H101)</f>
        <v>8.6394711141161446E-3</v>
      </c>
      <c r="I102" s="72">
        <f>SUM(I95:I101)</f>
        <v>0</v>
      </c>
      <c r="J102" s="73">
        <f>IFERROR(AVERAGE(J95:J101),0)</f>
        <v>0</v>
      </c>
      <c r="K102" s="72">
        <f>SUM(K95:K101)</f>
        <v>0</v>
      </c>
      <c r="L102" s="73">
        <f>IFERROR(AVERAGE(L95:L101),0)</f>
        <v>0</v>
      </c>
      <c r="M102" s="186">
        <f>SUM(M95)</f>
        <v>87</v>
      </c>
      <c r="N102" s="187">
        <f>SUM(N95)</f>
        <v>5.9969568965517235</v>
      </c>
      <c r="O102" s="72">
        <f t="shared" ref="O102:V102" si="25">SUM(O95:O101)</f>
        <v>25</v>
      </c>
      <c r="P102" s="72">
        <f t="shared" si="25"/>
        <v>0</v>
      </c>
      <c r="Q102" s="72">
        <f t="shared" si="25"/>
        <v>1</v>
      </c>
      <c r="R102" s="72">
        <f t="shared" si="25"/>
        <v>48</v>
      </c>
      <c r="S102" s="72">
        <f t="shared" si="25"/>
        <v>10</v>
      </c>
      <c r="T102" s="72">
        <f t="shared" si="25"/>
        <v>640</v>
      </c>
      <c r="U102" s="75">
        <f t="shared" si="25"/>
        <v>521.57000000000005</v>
      </c>
      <c r="V102" s="75">
        <f t="shared" si="25"/>
        <v>521.73524999999995</v>
      </c>
      <c r="W102" s="74">
        <f>U102-V102</f>
        <v>-0.16524999999990087</v>
      </c>
      <c r="X102" s="77">
        <f>AVERAGE(X95:X101)</f>
        <v>5</v>
      </c>
      <c r="Y102" s="2"/>
      <c r="Z102" s="2"/>
      <c r="AA102" s="2"/>
      <c r="AB102" s="2"/>
      <c r="AC102" s="2"/>
      <c r="AD102" s="2"/>
      <c r="AE102" s="2"/>
      <c r="AF102" s="2"/>
    </row>
    <row r="103" spans="2:34" ht="12.75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6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2:34" ht="12.75" hidden="1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6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2:34" ht="12.75" hidden="1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6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2:34" ht="12.75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6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2:34" ht="13.5" customHeight="1" x14ac:dyDescent="0.2">
      <c r="B107" s="369" t="s">
        <v>211</v>
      </c>
      <c r="C107" s="369"/>
      <c r="D107" s="369"/>
      <c r="E107" s="369"/>
      <c r="F107" s="369"/>
      <c r="G107" s="369"/>
      <c r="H107" s="369"/>
      <c r="I107" s="369"/>
      <c r="J107" s="369"/>
      <c r="K107" s="369"/>
      <c r="L107" s="2"/>
      <c r="M107" s="2"/>
      <c r="N107" s="2"/>
      <c r="O107" s="2"/>
      <c r="P107" s="2"/>
      <c r="Q107" s="2"/>
      <c r="R107" s="2"/>
      <c r="S107" s="2"/>
    </row>
    <row r="108" spans="2:34" ht="27" customHeight="1" x14ac:dyDescent="0.2">
      <c r="B108" s="85" t="s">
        <v>159</v>
      </c>
      <c r="C108" s="85" t="s">
        <v>212</v>
      </c>
      <c r="D108" s="13" t="s">
        <v>62</v>
      </c>
      <c r="E108" s="97" t="s">
        <v>213</v>
      </c>
      <c r="F108" s="13" t="s">
        <v>214</v>
      </c>
      <c r="G108" s="13" t="s">
        <v>215</v>
      </c>
      <c r="H108" s="13" t="s">
        <v>216</v>
      </c>
      <c r="I108" s="13" t="s">
        <v>81</v>
      </c>
      <c r="J108" s="14" t="s">
        <v>82</v>
      </c>
      <c r="K108" s="14" t="s">
        <v>83</v>
      </c>
      <c r="L108" s="2"/>
      <c r="M108" s="2"/>
      <c r="N108" s="2"/>
      <c r="O108" s="2"/>
      <c r="P108" s="2"/>
      <c r="Q108" s="2"/>
      <c r="R108" s="2"/>
      <c r="S108" s="2"/>
    </row>
    <row r="109" spans="2:34" ht="39" customHeight="1" x14ac:dyDescent="0.2">
      <c r="B109" s="313" t="s">
        <v>217</v>
      </c>
      <c r="C109" s="313" t="s">
        <v>218</v>
      </c>
      <c r="D109" s="205" t="s">
        <v>219</v>
      </c>
      <c r="E109" s="206">
        <v>2233935</v>
      </c>
      <c r="F109" s="207">
        <v>4</v>
      </c>
      <c r="G109" s="208">
        <v>3454</v>
      </c>
      <c r="H109" s="209">
        <f>G109/E109</f>
        <v>1.5461506265849274E-3</v>
      </c>
      <c r="I109" s="207">
        <v>7500</v>
      </c>
      <c r="J109" s="207">
        <f>E109*F109/1000</f>
        <v>8935.74</v>
      </c>
      <c r="K109" s="207">
        <f>I109-J109</f>
        <v>-1435.7399999999998</v>
      </c>
      <c r="L109" s="2"/>
      <c r="M109" s="2"/>
      <c r="N109" s="2"/>
      <c r="O109" s="2"/>
      <c r="P109" s="2"/>
      <c r="Q109" s="1"/>
      <c r="R109" s="1"/>
      <c r="S109" s="1"/>
      <c r="T109" s="34"/>
    </row>
    <row r="110" spans="2:34" ht="12.75" x14ac:dyDescent="0.2">
      <c r="B110" s="210" t="s">
        <v>120</v>
      </c>
      <c r="C110" s="211"/>
      <c r="D110" s="212"/>
      <c r="E110" s="213">
        <f>SUM(E109:E109)</f>
        <v>2233935</v>
      </c>
      <c r="F110" s="214">
        <f>SUM(F109)</f>
        <v>4</v>
      </c>
      <c r="G110" s="213">
        <f>SUM(G109:G109)</f>
        <v>3454</v>
      </c>
      <c r="H110" s="215">
        <f>SUM(H109)</f>
        <v>1.5461506265849274E-3</v>
      </c>
      <c r="I110" s="216">
        <f>SUM(I109:I109)</f>
        <v>7500</v>
      </c>
      <c r="J110" s="216">
        <f>SUM(J109:J109)</f>
        <v>8935.74</v>
      </c>
      <c r="K110" s="214">
        <f>I110-J110</f>
        <v>-1435.7399999999998</v>
      </c>
      <c r="L110" s="2"/>
      <c r="M110" s="2"/>
      <c r="N110" s="2"/>
      <c r="O110" s="2"/>
      <c r="P110" s="2"/>
      <c r="Q110" s="1"/>
      <c r="R110" s="189"/>
      <c r="S110" s="1"/>
      <c r="T110" s="34"/>
    </row>
    <row r="111" spans="2:34" ht="12.75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1"/>
      <c r="R111" s="189"/>
      <c r="S111" s="1"/>
      <c r="T111" s="1"/>
      <c r="U111" s="2"/>
      <c r="V111" s="2"/>
      <c r="W111" s="2"/>
      <c r="X111" s="2"/>
      <c r="Y111" s="6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2:34" ht="13.5" customHeight="1" x14ac:dyDescent="0.2">
      <c r="B112" s="369" t="s">
        <v>220</v>
      </c>
      <c r="C112" s="369"/>
      <c r="D112" s="369"/>
      <c r="E112" s="369"/>
      <c r="F112" s="369"/>
      <c r="G112" s="369"/>
      <c r="H112" s="369"/>
      <c r="I112" s="369"/>
      <c r="J112" s="369"/>
      <c r="K112" s="369"/>
      <c r="L112" s="369"/>
      <c r="M112" s="369"/>
      <c r="N112" s="2"/>
      <c r="O112" s="2"/>
      <c r="P112" s="2"/>
      <c r="Q112" s="1"/>
      <c r="R112" s="189"/>
      <c r="S112" s="1"/>
      <c r="T112" s="1"/>
      <c r="U112" s="2"/>
    </row>
    <row r="113" spans="2:40" ht="27" customHeight="1" x14ac:dyDescent="0.2">
      <c r="B113" s="85" t="s">
        <v>159</v>
      </c>
      <c r="C113" s="85" t="s">
        <v>212</v>
      </c>
      <c r="D113" s="13" t="s">
        <v>62</v>
      </c>
      <c r="E113" s="13" t="s">
        <v>213</v>
      </c>
      <c r="F113" s="97" t="s">
        <v>20</v>
      </c>
      <c r="G113" s="13" t="s">
        <v>21</v>
      </c>
      <c r="H113" s="13" t="s">
        <v>221</v>
      </c>
      <c r="I113" s="13" t="s">
        <v>215</v>
      </c>
      <c r="J113" s="13" t="s">
        <v>216</v>
      </c>
      <c r="K113" s="13" t="s">
        <v>81</v>
      </c>
      <c r="L113" s="14" t="s">
        <v>82</v>
      </c>
      <c r="M113" s="14" t="s">
        <v>83</v>
      </c>
      <c r="N113" s="2"/>
      <c r="O113" s="2"/>
      <c r="P113" s="2"/>
      <c r="Q113" s="1"/>
      <c r="R113" s="1"/>
      <c r="S113" s="1"/>
      <c r="T113" s="1"/>
      <c r="U113" s="2"/>
    </row>
    <row r="114" spans="2:40" ht="39" customHeight="1" x14ac:dyDescent="0.2">
      <c r="B114" s="313" t="s">
        <v>217</v>
      </c>
      <c r="C114" s="313" t="s">
        <v>222</v>
      </c>
      <c r="D114" s="205" t="s">
        <v>223</v>
      </c>
      <c r="E114" s="208">
        <v>154671</v>
      </c>
      <c r="F114" s="206">
        <v>73057</v>
      </c>
      <c r="G114" s="220">
        <f>F114/E114</f>
        <v>0.4723380594940228</v>
      </c>
      <c r="H114" s="223">
        <v>0.04</v>
      </c>
      <c r="I114" s="208">
        <v>2164</v>
      </c>
      <c r="J114" s="209">
        <f>I114/E114</f>
        <v>1.3990987321475907E-2</v>
      </c>
      <c r="K114" s="207">
        <v>2500</v>
      </c>
      <c r="L114" s="207">
        <f>H114*F114</f>
        <v>2922.28</v>
      </c>
      <c r="M114" s="207">
        <f>K114-L114</f>
        <v>-422.2800000000002</v>
      </c>
      <c r="N114" s="2"/>
      <c r="O114" s="2"/>
      <c r="P114" s="2"/>
      <c r="Q114" s="2"/>
      <c r="R114" s="2"/>
      <c r="S114" s="2"/>
      <c r="T114" s="2"/>
      <c r="U114" s="2"/>
    </row>
    <row r="115" spans="2:40" ht="12.75" x14ac:dyDescent="0.2">
      <c r="B115" s="210" t="s">
        <v>120</v>
      </c>
      <c r="C115" s="211"/>
      <c r="D115" s="212"/>
      <c r="E115" s="213">
        <f>SUM(E114:E114)</f>
        <v>154671</v>
      </c>
      <c r="F115" s="213">
        <f>F114</f>
        <v>73057</v>
      </c>
      <c r="G115" s="213">
        <f>G114</f>
        <v>0.4723380594940228</v>
      </c>
      <c r="H115" s="214">
        <f>SUM(H114)</f>
        <v>0.04</v>
      </c>
      <c r="I115" s="213">
        <f>SUM(I114:I114)</f>
        <v>2164</v>
      </c>
      <c r="J115" s="215">
        <f>SUM(J114)</f>
        <v>1.3990987321475907E-2</v>
      </c>
      <c r="K115" s="216">
        <f>SUM(K114:K114)</f>
        <v>2500</v>
      </c>
      <c r="L115" s="216">
        <f>SUM(L114:L114)</f>
        <v>2922.28</v>
      </c>
      <c r="M115" s="214">
        <f>K115-L115</f>
        <v>-422.2800000000002</v>
      </c>
      <c r="N115" s="2"/>
      <c r="O115" s="2"/>
      <c r="P115" s="2"/>
      <c r="Q115" s="2"/>
      <c r="R115" s="2"/>
      <c r="S115" s="2"/>
      <c r="T115" s="2"/>
      <c r="U115" s="2"/>
    </row>
    <row r="116" spans="2:40" ht="12.75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6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2:40" ht="12.75" hidden="1" x14ac:dyDescent="0.2">
      <c r="B117" s="376" t="s">
        <v>224</v>
      </c>
      <c r="C117" s="376"/>
      <c r="D117" s="376"/>
      <c r="E117" s="376"/>
      <c r="F117" s="376"/>
      <c r="G117" s="376"/>
      <c r="H117" s="377"/>
      <c r="I117" s="196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6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2:40" ht="25.5" hidden="1" x14ac:dyDescent="0.2">
      <c r="B118" s="374" t="s">
        <v>225</v>
      </c>
      <c r="C118" s="375"/>
      <c r="D118" s="97" t="s">
        <v>213</v>
      </c>
      <c r="E118" s="13" t="s">
        <v>214</v>
      </c>
      <c r="F118" s="13" t="s">
        <v>215</v>
      </c>
      <c r="G118" s="198" t="s">
        <v>216</v>
      </c>
      <c r="H118" s="14" t="s">
        <v>82</v>
      </c>
      <c r="I118" s="195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6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2:40" ht="12.75" hidden="1" x14ac:dyDescent="0.2">
      <c r="B119" s="370" t="s">
        <v>226</v>
      </c>
      <c r="C119" s="371"/>
      <c r="D119" s="194">
        <v>151125</v>
      </c>
      <c r="E119" s="22">
        <v>4</v>
      </c>
      <c r="F119" s="145">
        <v>292</v>
      </c>
      <c r="G119" s="199">
        <f t="shared" ref="G119:G121" si="26">F119/D119</f>
        <v>1.9321753515301903E-3</v>
      </c>
      <c r="H119" s="201">
        <f>D119*E119/1000</f>
        <v>604.5</v>
      </c>
      <c r="I119" s="195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6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2:40" ht="12.75" hidden="1" x14ac:dyDescent="0.2">
      <c r="B120" s="370" t="s">
        <v>227</v>
      </c>
      <c r="C120" s="371"/>
      <c r="D120" s="194">
        <v>1603224</v>
      </c>
      <c r="E120" s="22">
        <v>4</v>
      </c>
      <c r="F120" s="145">
        <v>2971</v>
      </c>
      <c r="G120" s="199">
        <f t="shared" si="26"/>
        <v>1.8531409210440961E-3</v>
      </c>
      <c r="H120" s="201">
        <f t="shared" ref="H120:H122" si="27">D120*E120/1000</f>
        <v>6412.8959999999997</v>
      </c>
      <c r="I120" s="195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6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2:40" ht="12.75" hidden="1" x14ac:dyDescent="0.2">
      <c r="B121" s="370" t="s">
        <v>228</v>
      </c>
      <c r="C121" s="371"/>
      <c r="D121" s="194">
        <v>159274</v>
      </c>
      <c r="E121" s="22">
        <v>4</v>
      </c>
      <c r="F121" s="145">
        <v>120</v>
      </c>
      <c r="G121" s="199">
        <f t="shared" si="26"/>
        <v>7.5341863706568553E-4</v>
      </c>
      <c r="H121" s="201">
        <f t="shared" si="27"/>
        <v>637.096</v>
      </c>
      <c r="I121" s="195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6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2:40" ht="15" hidden="1" customHeight="1" x14ac:dyDescent="0.2">
      <c r="B122" s="372" t="s">
        <v>229</v>
      </c>
      <c r="C122" s="373"/>
      <c r="D122" s="94">
        <v>320312</v>
      </c>
      <c r="E122" s="22">
        <v>4</v>
      </c>
      <c r="F122" s="3">
        <v>71</v>
      </c>
      <c r="G122" s="199">
        <f>F122/D122</f>
        <v>2.2165888258947526E-4</v>
      </c>
      <c r="H122" s="201">
        <f t="shared" si="27"/>
        <v>1281.248</v>
      </c>
      <c r="I122" s="3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6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2:40" ht="12.75" hidden="1" x14ac:dyDescent="0.2">
      <c r="B123" s="360" t="s">
        <v>120</v>
      </c>
      <c r="C123" s="362"/>
      <c r="D123" s="72">
        <f>SUM(D119:D122)</f>
        <v>2233935</v>
      </c>
      <c r="E123" s="74">
        <f>SUM(E122)</f>
        <v>4</v>
      </c>
      <c r="F123" s="72">
        <f>SUM(F119:F122)</f>
        <v>3454</v>
      </c>
      <c r="G123" s="200">
        <f>AVERAGE(G119:G122)</f>
        <v>1.1900984480573617E-3</v>
      </c>
      <c r="H123" s="202">
        <f>SUM(H119:H122)</f>
        <v>8935.74</v>
      </c>
      <c r="I123" s="197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6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2:40" ht="12.75" hidden="1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6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2:40" ht="12.75" hidden="1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6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2:40" ht="12.75" x14ac:dyDescent="0.2">
      <c r="B126" s="369" t="s">
        <v>37</v>
      </c>
      <c r="C126" s="369"/>
      <c r="D126" s="369"/>
      <c r="E126" s="369"/>
      <c r="F126" s="369"/>
      <c r="G126" s="369"/>
      <c r="H126" s="369"/>
      <c r="I126" s="369"/>
      <c r="J126" s="369"/>
      <c r="K126" s="369"/>
      <c r="L126" s="369"/>
      <c r="M126" s="369"/>
      <c r="N126" s="369"/>
      <c r="O126" s="369"/>
      <c r="P126" s="369"/>
      <c r="Q126" s="369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6"/>
      <c r="AF126" s="2"/>
      <c r="AG126" s="2"/>
      <c r="AH126" s="2"/>
      <c r="AI126" s="2"/>
      <c r="AJ126" s="2"/>
      <c r="AK126" s="2"/>
      <c r="AL126" s="2"/>
      <c r="AM126" s="2"/>
      <c r="AN126" s="2"/>
    </row>
    <row r="127" spans="2:40" ht="25.5" x14ac:dyDescent="0.2">
      <c r="B127" s="85" t="s">
        <v>159</v>
      </c>
      <c r="C127" s="85" t="s">
        <v>212</v>
      </c>
      <c r="D127" s="13" t="s">
        <v>62</v>
      </c>
      <c r="E127" s="13" t="s">
        <v>213</v>
      </c>
      <c r="F127" s="97" t="s">
        <v>20</v>
      </c>
      <c r="G127" s="13" t="s">
        <v>21</v>
      </c>
      <c r="H127" s="13" t="s">
        <v>71</v>
      </c>
      <c r="I127" s="13" t="s">
        <v>72</v>
      </c>
      <c r="J127" s="13" t="s">
        <v>73</v>
      </c>
      <c r="K127" s="13" t="s">
        <v>74</v>
      </c>
      <c r="L127" s="13" t="s">
        <v>221</v>
      </c>
      <c r="M127" s="13" t="s">
        <v>215</v>
      </c>
      <c r="N127" s="13" t="s">
        <v>216</v>
      </c>
      <c r="O127" s="13" t="s">
        <v>81</v>
      </c>
      <c r="P127" s="14" t="s">
        <v>82</v>
      </c>
      <c r="Q127" s="14" t="s">
        <v>83</v>
      </c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6"/>
      <c r="AF127" s="2"/>
      <c r="AG127" s="2"/>
      <c r="AH127" s="2"/>
      <c r="AI127" s="2"/>
      <c r="AJ127" s="2"/>
      <c r="AK127" s="2"/>
      <c r="AL127" s="2"/>
      <c r="AM127" s="2"/>
      <c r="AN127" s="2"/>
    </row>
    <row r="128" spans="2:40" ht="32.25" customHeight="1" x14ac:dyDescent="0.2">
      <c r="B128" s="366" t="s">
        <v>217</v>
      </c>
      <c r="C128" s="313" t="s">
        <v>230</v>
      </c>
      <c r="D128" s="205" t="s">
        <v>219</v>
      </c>
      <c r="E128" s="208">
        <v>557890</v>
      </c>
      <c r="F128" s="206">
        <v>289592</v>
      </c>
      <c r="G128" s="220">
        <f>F128/E128</f>
        <v>0.51908440732043948</v>
      </c>
      <c r="H128" s="220">
        <v>0.77539999999999998</v>
      </c>
      <c r="I128" s="220">
        <v>0.61070000000000002</v>
      </c>
      <c r="J128" s="220">
        <v>0.54930000000000001</v>
      </c>
      <c r="K128" s="220">
        <v>0.51619999999999999</v>
      </c>
      <c r="L128" s="207">
        <v>7.0000000000000007E-2</v>
      </c>
      <c r="M128" s="208">
        <v>3454</v>
      </c>
      <c r="N128" s="209">
        <f>M128/E128</f>
        <v>6.1911846421337539E-3</v>
      </c>
      <c r="O128" s="207">
        <v>18100</v>
      </c>
      <c r="P128" s="207">
        <f>F128*L128</f>
        <v>20271.440000000002</v>
      </c>
      <c r="Q128" s="207">
        <f>O128-P128</f>
        <v>-2171.4400000000023</v>
      </c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6"/>
      <c r="AF128" s="2"/>
      <c r="AG128" s="2"/>
      <c r="AH128" s="2"/>
      <c r="AI128" s="2"/>
      <c r="AJ128" s="2"/>
      <c r="AK128" s="2"/>
      <c r="AL128" s="2"/>
      <c r="AM128" s="2"/>
      <c r="AN128" s="2"/>
    </row>
    <row r="129" spans="2:40" ht="32.25" customHeight="1" x14ac:dyDescent="0.2">
      <c r="B129" s="368"/>
      <c r="C129" s="313" t="s">
        <v>231</v>
      </c>
      <c r="D129" s="205" t="s">
        <v>232</v>
      </c>
      <c r="E129" s="217">
        <v>553522</v>
      </c>
      <c r="F129" s="222">
        <v>348853</v>
      </c>
      <c r="G129" s="220">
        <f>F129/E129</f>
        <v>0.63024233905788751</v>
      </c>
      <c r="H129" s="221">
        <v>0.72452043459880544</v>
      </c>
      <c r="I129" s="221">
        <v>0.64323007938257193</v>
      </c>
      <c r="J129" s="221">
        <v>0.592583492616373</v>
      </c>
      <c r="K129" s="221">
        <v>0.5471254981735143</v>
      </c>
      <c r="L129" s="207">
        <v>0.06</v>
      </c>
      <c r="M129" s="217">
        <v>287</v>
      </c>
      <c r="N129" s="209">
        <f>M129/E129</f>
        <v>5.1849790974884465E-4</v>
      </c>
      <c r="O129" s="218">
        <v>20900</v>
      </c>
      <c r="P129" s="207">
        <f>F129*L129</f>
        <v>20931.18</v>
      </c>
      <c r="Q129" s="207">
        <f>O129-P129</f>
        <v>-31.180000000000291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6"/>
      <c r="AF129" s="2"/>
      <c r="AG129" s="2"/>
      <c r="AH129" s="2"/>
      <c r="AI129" s="2"/>
      <c r="AJ129" s="2"/>
      <c r="AK129" s="2"/>
      <c r="AL129" s="2"/>
      <c r="AM129" s="2"/>
      <c r="AN129" s="2"/>
    </row>
    <row r="130" spans="2:40" ht="18.75" customHeight="1" x14ac:dyDescent="0.2">
      <c r="B130" s="210" t="s">
        <v>120</v>
      </c>
      <c r="C130" s="211"/>
      <c r="D130" s="212"/>
      <c r="E130" s="213">
        <f>SUM(E128:E129)</f>
        <v>1111412</v>
      </c>
      <c r="F130" s="213">
        <f>SUM(F128:F129)</f>
        <v>638445</v>
      </c>
      <c r="G130" s="219">
        <f>AVERAGE(G128:G129)</f>
        <v>0.5746633731891635</v>
      </c>
      <c r="H130" s="219">
        <f t="shared" ref="H130:K130" si="28">AVERAGE(H128:H129)</f>
        <v>0.74996021729940265</v>
      </c>
      <c r="I130" s="219">
        <f t="shared" si="28"/>
        <v>0.62696503969128603</v>
      </c>
      <c r="J130" s="219">
        <f t="shared" si="28"/>
        <v>0.5709417463081865</v>
      </c>
      <c r="K130" s="219">
        <f t="shared" si="28"/>
        <v>0.53166274908675715</v>
      </c>
      <c r="L130" s="214">
        <f>P130/F130</f>
        <v>6.4535895809349278E-2</v>
      </c>
      <c r="M130" s="213">
        <f>SUM(M128:M129)</f>
        <v>3741</v>
      </c>
      <c r="N130" s="215">
        <f>AVERAGE(N128:N129)</f>
        <v>3.3548412759412992E-3</v>
      </c>
      <c r="O130" s="216">
        <f>SUM(O128:O129)</f>
        <v>39000</v>
      </c>
      <c r="P130" s="216">
        <f>SUM(P128:P129)</f>
        <v>41202.620000000003</v>
      </c>
      <c r="Q130" s="214">
        <f>O130-P130</f>
        <v>-2202.6200000000026</v>
      </c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6"/>
      <c r="AF130" s="2"/>
      <c r="AG130" s="2"/>
      <c r="AH130" s="2"/>
      <c r="AI130" s="2"/>
      <c r="AJ130" s="2"/>
      <c r="AK130" s="2"/>
      <c r="AL130" s="2"/>
      <c r="AM130" s="2"/>
      <c r="AN130" s="2"/>
    </row>
    <row r="131" spans="2:40" ht="12.75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6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2:40" ht="18.75" customHeight="1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6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2:40" ht="12.75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6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2:40" ht="18.75" customHeight="1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6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2:40" ht="12.75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6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2:40" ht="18.75" customHeight="1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6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2:40" ht="12.75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6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2:40" ht="18.75" customHeight="1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6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2:40" ht="12.75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6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2:40" ht="18.75" customHeight="1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6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2:40" ht="12.75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6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2:40" ht="18.75" customHeight="1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6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2:40" ht="12.75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6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2:40" ht="18.75" customHeight="1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6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2:34" ht="12.75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6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2:34" ht="18.75" customHeight="1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6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2:34" ht="12.75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6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2:34" ht="18.75" customHeight="1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6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2:34" ht="12.75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6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2:34" ht="12.75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6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2:34" ht="12.75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6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2:34" ht="12.75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6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2:34" ht="12.75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6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2:34" ht="12.75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6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2:34" ht="12.75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6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2:34" ht="12.75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6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2:34" ht="12.75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6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2:34" ht="12.75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6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2:34" ht="12.75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6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2:34" ht="12.75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6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2:34" ht="12.75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6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2:34" ht="12.75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6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2:34" ht="12.75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6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2:34" ht="12.75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6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2:34" ht="12.75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6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2:34" ht="12.75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6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2:34" ht="12.75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6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2:34" ht="12.75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6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2:34" ht="12.75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6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2:34" ht="12.75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6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2:34" ht="12.75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6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2:34" ht="12.75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6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2:34" ht="12.75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6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2:34" ht="12.75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6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2:34" ht="12.75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6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2:34" ht="12.75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6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2:34" ht="12.75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6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2:34" ht="12.75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6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2:34" ht="12.75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6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2:34" ht="12.75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6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2:34" ht="12.75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6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2:34" ht="12.75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6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2:34" ht="12.75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6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2:34" ht="12.75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6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2:34" ht="12.75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6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2:34" ht="12.75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6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2:34" ht="12.75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6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2:34" ht="12.75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6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2:34" ht="12.75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6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2:34" ht="12.75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6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2:34" ht="12.75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6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2:34" ht="12.75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6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2:34" ht="12.75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6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2:34" ht="12.75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6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2:34" ht="12.75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6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2:34" ht="12.75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6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2:34" ht="12.75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6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2:34" ht="12.75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6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2:34" ht="12.75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6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2:34" ht="12.75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6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2:34" ht="12.75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6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2:34" ht="12.75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6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2:34" ht="12.75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6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2:34" ht="12.75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6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2:34" ht="12.75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6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2:34" ht="12.75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6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2:34" ht="12.75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6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2:34" ht="12.75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6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2:34" ht="12.75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6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2:34" ht="12.75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6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2:34" ht="12.75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6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2:34" ht="12.75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6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2:34" ht="12.75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6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2:34" ht="12.75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6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2:34" ht="12.75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6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2:34" ht="12.75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6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2:34" ht="12.75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6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2:34" ht="12.75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6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2:34" ht="12.75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6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2:34" ht="12.75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6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2:34" ht="12.75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6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2:34" ht="12.75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6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2:34" ht="12.75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6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2:34" ht="12.75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6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2:34" ht="12.75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6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2:34" ht="12.75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6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2:34" ht="12.75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6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2:34" ht="12.75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6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2:34" ht="12.75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6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2:34" ht="12.75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6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2:34" ht="12.75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6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2:34" ht="12.75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6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2:34" ht="12.75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6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2:34" ht="12.75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6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2:34" ht="12.75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6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2:34" ht="12.75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6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2:34" ht="12.75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6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2:34" ht="12.75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6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2:34" ht="12.75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6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2:34" ht="12.75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6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2:34" ht="12.75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6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2:34" ht="12.75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6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2:34" ht="12.75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6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2:34" ht="12.75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6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2:34" ht="12.75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6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2:34" ht="12.75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6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2:34" ht="12.75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6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2:34" ht="12.75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6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2:34" ht="12.75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6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2:34" ht="12.75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6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2:34" ht="12.75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6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2:34" ht="12.75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6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2:34" ht="12.75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6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2:34" ht="12.75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6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2:34" ht="12.75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6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2:34" ht="12.75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6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2:34" ht="12.75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6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2:34" ht="12.75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6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2:34" ht="12.75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6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2:34" ht="12.75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6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2:34" ht="12.75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6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2:34" ht="12.75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6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2:34" ht="12.75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6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2:34" ht="12.75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6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2:34" ht="12.75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6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2:34" ht="12.75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6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2:34" ht="12.75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6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2:34" ht="12.75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6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2:34" ht="12.75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6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2:34" ht="12.75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6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2:34" ht="12.75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6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2:34" ht="12.75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6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2:34" ht="12.75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6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2:34" ht="12.75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6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2:34" ht="12.75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6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2:34" ht="12.75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6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2:34" ht="12.75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6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2:34" ht="12.75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6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2:34" ht="12.75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6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2:34" ht="12.75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6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2:34" ht="12.75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6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2:34" ht="12.75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6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2:34" ht="12.75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6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2:34" ht="12.75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6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2:34" ht="12.75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6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2:34" ht="12.75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6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2:34" ht="12.75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6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2:34" ht="12.75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6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2:34" ht="12.75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6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2:34" ht="12.75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6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2:34" ht="12.75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6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2:34" ht="12.75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6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2:34" ht="12.75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6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2:34" ht="12.75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6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2:34" ht="12.75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6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2:34" ht="12.75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6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2:34" ht="12.75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6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2:34" ht="12.75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6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2:34" ht="12.75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6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2:34" ht="12.75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6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2:34" ht="12.75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6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2:34" ht="12.75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6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2:34" ht="12.75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6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2:34" ht="12.75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6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2:34" ht="12.75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6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2:34" ht="12.75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6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2:34" ht="12.75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6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2:34" ht="12.75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6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2:34" ht="12.75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6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2:34" ht="12.75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6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2:34" ht="12.75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6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2:34" ht="12.75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6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2:34" ht="12.75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6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2:34" ht="12.75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6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2:34" ht="12.75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6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2:34" ht="12.75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6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2:34" ht="12.75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6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2:34" ht="12.75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6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2:34" ht="12.75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6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2:34" ht="12.75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6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2:34" ht="12.75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6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2:34" ht="12.75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6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2:34" ht="12.75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6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2:34" ht="12.75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6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2:34" ht="12.75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6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2:34" ht="12.75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6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2:34" ht="12.75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6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2:34" ht="12.75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6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2:34" ht="12.75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6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2:34" ht="12.75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6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2:34" ht="12.75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6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2:34" ht="12.75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6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2:34" ht="12.75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6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2:34" ht="12.75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6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2:34" ht="12.75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6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2:34" ht="12.75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6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2:34" ht="12.75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6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2:34" ht="12.75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6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2:34" ht="12.75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6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2:34" ht="12.75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6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2:34" ht="12.75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6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2:34" ht="12.75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6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2:34" ht="12.75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6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2:34" ht="12.75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6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2:34" ht="12.75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6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2:34" ht="12.75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6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2:34" ht="12.75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6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2:34" ht="12.75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6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2:34" ht="12.75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6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2:34" ht="12.75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6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2:34" ht="12.75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6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2:34" ht="12.75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6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2:34" ht="12.75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6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2:34" ht="12.75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6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2:34" ht="12.75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6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2:34" ht="12.75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6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2:34" ht="12.75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6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2:34" ht="12.75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6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2:34" ht="12.75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6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2:34" ht="12.75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6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2:34" ht="12.75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6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2:34" ht="12.75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6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2:34" ht="12.75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6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2:34" ht="12.75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6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2:34" ht="12.75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6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2:34" ht="12.75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6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2:34" ht="12.75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6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2:34" ht="12.75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6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2:34" ht="12.75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6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2:34" ht="12.75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6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2:34" ht="12.75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6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2:34" ht="12.75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6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2:34" ht="12.75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6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2:34" ht="12.75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6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2:34" ht="12.75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6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2:34" ht="12.75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6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2:34" ht="12.75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6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2:34" ht="12.75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6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2:34" ht="12.75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6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2:34" ht="12.75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6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2:34" ht="12.75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6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2:34" ht="12.75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6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2:34" ht="12.75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6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2:34" ht="12.75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6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2:34" ht="12.75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6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2:34" ht="12.75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6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2:34" ht="12.75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6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2:34" ht="12.75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6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2:34" ht="12.75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6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2:34" ht="12.75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6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2:34" ht="12.75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6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2:34" ht="12.75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6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2:34" ht="12.75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6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2:34" ht="12.75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6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2:34" ht="12.75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6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2:34" ht="12.75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6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2:34" ht="12.75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6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2:34" ht="12.75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6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2:34" ht="12.75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6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2:34" ht="12.75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6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2:34" ht="12.75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6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2:34" ht="12.75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6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2:34" ht="12.75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6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2:34" ht="12.75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6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2:34" ht="12.75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6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2:34" ht="12.75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6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2:34" ht="12.75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6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2:34" ht="12.75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6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2:34" ht="12.75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6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2:34" ht="12.75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6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2:34" ht="12.75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6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2:34" ht="12.75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6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2:34" ht="12.75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6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2:34" ht="12.75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6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2:34" ht="12.75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6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2:34" ht="12.75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6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2:34" ht="12.75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6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2:34" ht="12.75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6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2:34" ht="12.75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6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2:34" ht="12.75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6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2:34" ht="12.75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6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2:34" ht="12.75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6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2:34" ht="12.75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6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2:34" ht="12.75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6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2:34" ht="12.75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6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2:34" ht="12.75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6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2:34" ht="12.75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6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2:34" ht="12.75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6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2:34" ht="12.75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6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2:34" ht="12.75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6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2:34" ht="12.75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6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2:34" ht="12.75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6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2:34" ht="12.75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6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2:34" ht="12.75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6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2:34" ht="12.75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6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2:34" ht="12.75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6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2:34" ht="12.75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6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2:34" ht="12.75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6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2:34" ht="12.75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6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2:34" ht="12.75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6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2:34" ht="12.75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6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2:34" ht="12.75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6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2:34" ht="12.75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6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2:34" ht="12.75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6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2:34" ht="12.75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6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2:34" ht="12.75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6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2:34" ht="12.75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6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2:34" ht="12.75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6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2:34" ht="12.75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6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2:34" ht="12.75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6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2:34" ht="12.75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6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2:34" ht="12.75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6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2:34" ht="12.75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6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2:34" ht="12.75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6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2:34" ht="12.75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6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2:34" ht="12.75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6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2:34" ht="12.75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6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2:34" ht="12.75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6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2:34" ht="12.75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6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2:34" ht="12.75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6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2:34" ht="12.75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6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2:34" ht="12.75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6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2:34" ht="12.75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6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2:34" ht="12.75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6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2:34" ht="12.75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6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2:34" ht="12.75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6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2:34" ht="12.75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6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2:34" ht="12.75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6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2:34" ht="12.75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6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2:34" ht="12.75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6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2:34" ht="12.75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6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2:34" ht="12.75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6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2:34" ht="12.75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6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2:34" ht="12.75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6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2:34" ht="12.75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6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2:34" ht="12.75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6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2:34" ht="12.75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6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2:34" ht="12.75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6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2:34" ht="12.75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6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2:34" ht="12.75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6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2:34" ht="12.75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6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2:34" ht="12.75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6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2:34" ht="12.75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6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2:34" ht="12.75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6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2:34" ht="12.75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6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2:34" ht="12.75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6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2:34" ht="12.75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6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2:34" ht="12.75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6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2:34" ht="12.75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6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2:34" ht="12.75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6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2:34" ht="12.75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6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2:34" ht="12.75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6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2:34" ht="12.75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6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2:34" ht="12.75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6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2:34" ht="12.75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6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2:34" ht="12.75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6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2:34" ht="12.75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6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2:34" ht="12.75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6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2:34" ht="12.75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6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2:34" ht="12.75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6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2:34" ht="12.75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6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2:34" ht="12.75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6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2:34" ht="12.75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6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2:34" ht="12.75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6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2:34" ht="12.75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6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2:34" ht="12.75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6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2:34" ht="12.75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6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2:34" ht="12.75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6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2:34" ht="12.75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6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2:34" ht="12.75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6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2:34" ht="12.75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6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2:34" ht="12.75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6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2:34" ht="12.75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6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2:34" ht="12.75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6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2:34" ht="12.75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6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2:34" ht="12.75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6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2:34" ht="12.75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6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2:34" ht="12.75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6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2:34" ht="12.75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6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2:34" ht="12.75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6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2:34" ht="12.75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6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2:34" ht="12.75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6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2:34" ht="12.75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6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2:34" ht="12.75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6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2:34" ht="12.75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6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2:34" ht="12.75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6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2:34" ht="12.75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6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2:34" ht="12.75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6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2:34" ht="12.75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6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2:34" ht="12.75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6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2:34" ht="12.75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6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2:34" ht="12.75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6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2:34" ht="12.75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6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2:34" ht="12.75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6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2:34" ht="12.75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6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2:34" ht="12.75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6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2:34" ht="12.75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6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2:34" ht="12.75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6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2:34" ht="12.75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6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2:34" ht="12.75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6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2:34" ht="12.75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6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2:34" ht="12.75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6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2:34" ht="12.75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6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2:34" ht="12.75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6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2:34" ht="12.75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6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2:34" ht="12.75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6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2:34" ht="12.75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6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2:34" ht="12.75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6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2:34" ht="12.75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6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2:34" ht="12.75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6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2:34" ht="12.75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6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2:34" ht="12.75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6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2:34" ht="12.75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6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2:34" ht="12.75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6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2:34" ht="12.75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6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2:34" ht="12.75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6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2:34" ht="12.75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6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2:34" ht="12.75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6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2:34" ht="12.75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6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2:34" ht="12.75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6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2:34" ht="12.75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6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2:34" ht="12.75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6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2:34" ht="12.75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6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2:34" ht="12.75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6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2:34" ht="12.75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6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2:34" ht="12.75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6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2:34" ht="12.75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6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2:34" ht="12.75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6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2:34" ht="12.75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6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2:34" ht="12.75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6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2:34" ht="12.75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6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2:34" ht="12.75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6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2:34" ht="12.75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6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2:34" ht="12.75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6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2:34" ht="12.75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6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2:34" ht="12.75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6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2:34" ht="12.75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6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2:34" ht="12.75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6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2:34" ht="12.75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6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2:34" ht="12.75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6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2:34" ht="12.75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6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2:34" ht="12.75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6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2:34" ht="12.75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6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2:34" ht="12.75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6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2:34" ht="12.75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6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2:34" ht="12.75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6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2:34" ht="12.75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6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2:34" ht="12.75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6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2:34" ht="12.75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6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2:34" ht="12.75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6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2:34" ht="12.75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6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2:34" ht="12.75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6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2:34" ht="12.75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6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2:34" ht="12.75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6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2:34" ht="12.75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6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2:34" ht="12.75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6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2:34" ht="12.75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6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2:34" ht="12.75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6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2:34" ht="12.75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6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2:34" ht="12.75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6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2:34" ht="12.75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6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2:34" ht="12.75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6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2:34" ht="12.75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6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2:34" ht="12.75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6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2:34" ht="12.75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6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2:34" ht="12.75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6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2:34" ht="12.75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6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2:34" ht="12.75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6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2:34" ht="12.75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6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2:34" ht="12.75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6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2:34" ht="12.75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6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2:34" ht="12.75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6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2:34" ht="12.75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6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2:34" ht="12.75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6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2:34" ht="12.75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6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2:34" ht="12.75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6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2:34" ht="12.75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6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2:34" ht="12.75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6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2:34" ht="12.75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6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2:34" ht="12.75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6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2:34" ht="12.75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6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2:34" ht="12.75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6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2:34" ht="12.75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6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2:34" ht="12.75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6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2:34" ht="12.75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6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2:34" ht="12.75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6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2:34" ht="12.75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6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2:34" ht="12.75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6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2:34" ht="12.75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6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2:34" ht="12.75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6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2:34" ht="12.75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6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2:34" ht="12.75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6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2:34" ht="12.75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6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2:34" ht="12.75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6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2:34" ht="12.75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6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2:34" ht="12.75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6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2:34" ht="12.75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6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2:34" ht="12.75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6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2:34" ht="12.75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6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2:34" ht="12.75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6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2:34" ht="12.75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6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2:34" ht="12.75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6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2:34" ht="12.75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6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2:34" ht="12.75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6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2:34" ht="12.75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6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2:34" ht="12.75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6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2:34" ht="12.75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6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2:34" ht="12.75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6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2:34" ht="12.75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6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2:34" ht="12.75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6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2:34" ht="12.75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6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2:34" ht="12.75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6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2:34" ht="12.75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6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2:34" ht="12.75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6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2:34" ht="12.75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6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2:34" ht="12.75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6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2:34" ht="12.75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6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2:34" ht="12.75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6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2:34" ht="12.75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6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2:34" ht="12.75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6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2:34" ht="12.75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6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2:34" ht="12.75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6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2:34" ht="12.75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6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2:34" ht="12.75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6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2:34" ht="12.75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6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2:34" ht="12.75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6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2:34" ht="12.75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6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2:34" ht="12.75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6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2:34" ht="12.75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6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2:34" ht="12.75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6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2:34" ht="12.75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6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2:34" ht="12.75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6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2:34" ht="12.75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6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2:34" ht="12.75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6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2:34" ht="12.75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6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2:34" ht="12.75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6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2:34" ht="12.75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6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2:34" ht="12.75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6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2:34" ht="12.75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6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2:34" ht="12.75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6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2:34" ht="12.75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6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2:34" ht="12.75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6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2:34" ht="12.75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6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2:34" ht="12.75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6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2:34" ht="12.75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6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2:34" ht="12.75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6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2:34" ht="12.75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6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2:34" ht="12.75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6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2:34" ht="12.75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6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2:34" ht="12.75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6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2:34" ht="12.75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6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2:34" ht="12.75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6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2:34" ht="12.75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6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2:34" ht="12.75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6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2:34" ht="12.75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6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2:34" ht="12.75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6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2:34" ht="12.75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6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2:34" ht="12.75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6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2:34" ht="12.75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6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2:34" ht="12.75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6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2:34" ht="12.75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6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2:34" ht="12.75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6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2:34" ht="12.75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6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2:34" ht="12.75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6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2:34" ht="12.75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6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2:34" ht="12.75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6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2:34" ht="12.75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6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2:34" ht="12.75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6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2:34" ht="12.75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6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2:34" ht="12.75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6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2:34" ht="12.75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6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2:34" ht="12.75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6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2:34" ht="12.75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6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2:34" ht="12.75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6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2:34" ht="12.75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6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2:34" ht="12.75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6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2:34" ht="12.75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6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2:34" ht="12.75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6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2:34" ht="12.75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6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2:34" ht="12.75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6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2:34" ht="12.75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6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2:34" ht="12.75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6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2:34" ht="12.75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6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2:34" ht="12.75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6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2:34" ht="12.75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6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2:34" ht="12.75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6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2:34" ht="12.75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6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2:34" ht="12.75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6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2:34" ht="12.75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6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2:34" ht="12.75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6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2:34" ht="12.75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6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2:34" ht="12.75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6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2:34" ht="12.75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6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2:34" ht="12.75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6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2:34" ht="12.75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6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2:34" ht="12.75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6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2:34" ht="12.75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6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2:34" ht="12.75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6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2:34" ht="12.75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6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2:34" ht="12.75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6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2:34" ht="12.75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6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2:34" ht="12.75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6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2:34" ht="12.75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6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2:34" ht="12.75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6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2:34" ht="12.75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6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2:34" ht="12.75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6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2:34" ht="12.75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6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2:34" ht="12.75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6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2:34" ht="12.75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6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2:34" ht="12.75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6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2:34" ht="12.75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6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2:34" ht="12.75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6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2:34" ht="12.75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6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2:34" ht="12.75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6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2:34" ht="12.75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6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2:34" ht="12.75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6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2:34" ht="12.75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6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2:34" ht="12.75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6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2:34" ht="12.75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6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2:34" ht="12.75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6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2:34" ht="12.75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6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2:34" ht="12.75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6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2:34" ht="12.75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6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2:34" ht="12.75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6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2:34" ht="12.75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6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2:34" ht="12.75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6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2:34" ht="12.75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6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2:34" ht="12.75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6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2:34" ht="12.75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6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2:34" ht="12.75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6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2:34" ht="12.75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6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2:34" ht="12.75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6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2:34" ht="12.75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6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2:34" ht="12.75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6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2:34" ht="12.75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6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2:34" ht="12.75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6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2:34" ht="12.75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6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2:34" ht="12.75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6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2:34" ht="12.75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6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2:34" ht="12.75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6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2:34" ht="12.75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6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2:34" ht="12.75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6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2:34" ht="12.75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6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2:34" ht="12.75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6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2:34" ht="12.75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6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2:34" ht="12.75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6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2:34" ht="12.75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6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2:34" ht="12.75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6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2:34" ht="12.75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6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2:34" ht="12.75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6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2:34" ht="12.75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6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2:34" ht="12.75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6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2:34" ht="12.75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6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2:34" ht="12.75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6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2:34" ht="12.75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6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2:34" ht="12.75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6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2:34" ht="12.75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6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2:34" ht="12.75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6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2:34" ht="12.75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6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2:34" ht="12.75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6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2:34" ht="12.75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6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2:34" ht="12.75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6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2:34" ht="12.75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6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2:34" ht="12.75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6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2:34" ht="12.75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6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2:34" ht="12.75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6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2:34" ht="12.75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6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2:34" ht="12.75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6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2:34" ht="12.75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6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2:34" ht="12.75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6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2:34" ht="12.75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6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2:34" ht="12.75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6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2:34" ht="12.75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6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2:34" ht="12.75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6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2:34" ht="12.75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6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2:34" ht="12.75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6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2:34" ht="12.75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6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2:34" ht="12.75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6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2:34" ht="12.75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6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2:34" ht="12.75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6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2:34" ht="12.75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6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2:34" ht="12.75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6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2:34" ht="12.75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6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2:34" ht="12.75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6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2:34" ht="12.75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6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2:34" ht="12.75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6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2:34" ht="12.75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6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2:34" ht="12.75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6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2:34" ht="12.75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6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2:34" ht="12.75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6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2:34" ht="12.75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6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2:34" ht="12.75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6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2:34" ht="12.75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6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2:34" ht="12.75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6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2:34" ht="12.75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6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2:34" ht="12.75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6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2:34" ht="12.75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6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2:34" ht="12.75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6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2:34" ht="12.75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6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2:34" ht="12.75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6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2:34" ht="12.75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6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2:34" ht="12.75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6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2:34" ht="12.75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6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2:34" ht="12.75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6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2:34" ht="12.75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6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2:34" ht="12.75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6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2:34" ht="12.75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6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2:34" ht="12.75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6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2:34" ht="12.75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6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2:34" ht="12.75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6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2:34" ht="12.75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6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2:34" ht="12.75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6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2:34" ht="12.75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6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2:34" ht="12.75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6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2:34" ht="12.75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6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2:34" ht="12.75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6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2:34" ht="12.75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6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2:34" ht="12.75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6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2:34" ht="12.75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6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2:34" ht="12.75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6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2:34" ht="12.75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6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2:34" ht="12.75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6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2:34" ht="12.75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6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2:34" ht="12.75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6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2:34" ht="12.75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6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2:34" ht="12.75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6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2:34" ht="12.75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6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2:34" ht="12.75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6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2:34" ht="12.75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6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2:34" ht="12.75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6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2:34" ht="12.75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6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2:34" ht="12.75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6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2:34" ht="12.75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6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2:34" ht="12.75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6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2:34" ht="12.75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6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2:34" ht="12.75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6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2:34" ht="12.75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6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2:34" ht="12.75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6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2:34" ht="12.75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6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2:34" ht="12.75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6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2:34" ht="12.75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6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2:34" ht="12.75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6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2:34" ht="12.75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6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2:34" ht="12.75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6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2:34" ht="12.75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6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2:34" ht="12.75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6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2:34" ht="12.75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6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2:34" ht="12.75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6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2:34" ht="12.75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6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2:34" ht="12.75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6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2:34" ht="12.75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6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2:34" ht="12.75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6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2:34" ht="12.75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6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2:34" ht="12.75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6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2:34" ht="12.75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6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2:34" ht="12.75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6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2:34" ht="12.75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6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2:34" ht="12.75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6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2:34" ht="12.75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6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2:34" ht="12.75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6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2:34" ht="12.75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6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2:34" ht="12.75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6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2:34" ht="12.75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6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2:34" ht="12.75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6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2:34" ht="12.75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6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2:34" ht="12.75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6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2:34" ht="12.75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6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2:34" ht="12.75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6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2:34" ht="12.75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6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2:34" ht="12.75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6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2:34" ht="12.75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6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2:34" ht="12.75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6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2:34" ht="12.75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6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2:34" ht="12.75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6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2:34" ht="12.75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6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2:34" ht="12.75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6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2:34" ht="12.75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6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2:34" ht="12.75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6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2:34" ht="12.75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6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2:34" ht="12.75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6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2:34" ht="12.75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6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2:34" ht="12.75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6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2:34" ht="12.75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6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2:34" ht="12.75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6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2:34" ht="12.75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6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2:34" ht="12.75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6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2:34" ht="12.75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6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2:34" ht="12.75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6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2:34" ht="12.75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6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2:34" ht="12.75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6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2:34" ht="12.75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6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2:34" ht="12.75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6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2:34" ht="12.75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6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2:34" ht="12.75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6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2:34" ht="12.75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6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2:34" ht="12.75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6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2:34" ht="12.75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6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2:34" ht="12.75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6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2:34" ht="12.75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6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2:34" ht="12.75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6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2:34" ht="12.75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6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2:34" ht="12.75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6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2:34" ht="12.75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6"/>
      <c r="Z943" s="2"/>
      <c r="AA943" s="2"/>
      <c r="AB943" s="2"/>
      <c r="AC943" s="2"/>
      <c r="AD943" s="2"/>
      <c r="AE943" s="2"/>
      <c r="AF943" s="2"/>
      <c r="AG943" s="2"/>
      <c r="AH943" s="2"/>
    </row>
  </sheetData>
  <mergeCells count="24">
    <mergeCell ref="B95:B101"/>
    <mergeCell ref="B102:D102"/>
    <mergeCell ref="B107:K107"/>
    <mergeCell ref="B128:B129"/>
    <mergeCell ref="B120:C120"/>
    <mergeCell ref="B121:C121"/>
    <mergeCell ref="B122:C122"/>
    <mergeCell ref="B118:C118"/>
    <mergeCell ref="B117:H117"/>
    <mergeCell ref="B126:Q126"/>
    <mergeCell ref="B123:C123"/>
    <mergeCell ref="B119:C119"/>
    <mergeCell ref="B112:M112"/>
    <mergeCell ref="T9:T12"/>
    <mergeCell ref="T14:T17"/>
    <mergeCell ref="B70:Z70"/>
    <mergeCell ref="T6:T7"/>
    <mergeCell ref="B32:B66"/>
    <mergeCell ref="B93:X93"/>
    <mergeCell ref="B29:Z29"/>
    <mergeCell ref="T19:T20"/>
    <mergeCell ref="B90:D90"/>
    <mergeCell ref="B67:D67"/>
    <mergeCell ref="B72:B89"/>
  </mergeCells>
  <conditionalFormatting sqref="W7">
    <cfRule type="cellIs" dxfId="57" priority="19" operator="greaterThan">
      <formula>1</formula>
    </cfRule>
    <cfRule type="cellIs" dxfId="56" priority="20" operator="greaterThan">
      <formula>1</formula>
    </cfRule>
  </conditionalFormatting>
  <conditionalFormatting sqref="Z7 W7">
    <cfRule type="cellIs" dxfId="55" priority="18" operator="greaterThan">
      <formula>0.99</formula>
    </cfRule>
  </conditionalFormatting>
  <conditionalFormatting sqref="Z7 W7">
    <cfRule type="cellIs" dxfId="54" priority="17" operator="lessThan">
      <formula>0.99</formula>
    </cfRule>
  </conditionalFormatting>
  <conditionalFormatting sqref="W10">
    <cfRule type="cellIs" dxfId="53" priority="15" operator="greaterThan">
      <formula>1</formula>
    </cfRule>
    <cfRule type="cellIs" dxfId="52" priority="16" operator="greaterThan">
      <formula>1</formula>
    </cfRule>
  </conditionalFormatting>
  <conditionalFormatting sqref="Z10 W10">
    <cfRule type="cellIs" dxfId="51" priority="14" operator="greaterThan">
      <formula>0.99</formula>
    </cfRule>
  </conditionalFormatting>
  <conditionalFormatting sqref="Z10 W10">
    <cfRule type="cellIs" dxfId="50" priority="13" operator="lessThan">
      <formula>0.99</formula>
    </cfRule>
  </conditionalFormatting>
  <conditionalFormatting sqref="W12">
    <cfRule type="cellIs" dxfId="49" priority="11" operator="greaterThan">
      <formula>1</formula>
    </cfRule>
    <cfRule type="cellIs" dxfId="48" priority="12" operator="greaterThan">
      <formula>1</formula>
    </cfRule>
  </conditionalFormatting>
  <conditionalFormatting sqref="Z12 W12">
    <cfRule type="cellIs" dxfId="47" priority="10" operator="greaterThan">
      <formula>0.99</formula>
    </cfRule>
  </conditionalFormatting>
  <conditionalFormatting sqref="Z12 W12">
    <cfRule type="cellIs" dxfId="46" priority="9" operator="lessThan">
      <formula>0.99</formula>
    </cfRule>
  </conditionalFormatting>
  <conditionalFormatting sqref="W15 W17">
    <cfRule type="cellIs" dxfId="45" priority="7" operator="greaterThan">
      <formula>1</formula>
    </cfRule>
    <cfRule type="cellIs" dxfId="44" priority="8" operator="greaterThan">
      <formula>1</formula>
    </cfRule>
  </conditionalFormatting>
  <conditionalFormatting sqref="Z15 W15 W17 Z17">
    <cfRule type="cellIs" dxfId="43" priority="6" operator="greaterThan">
      <formula>0.99</formula>
    </cfRule>
  </conditionalFormatting>
  <conditionalFormatting sqref="Z15 W15 W17 Z17">
    <cfRule type="cellIs" dxfId="42" priority="5" operator="lessThan">
      <formula>0.99</formula>
    </cfRule>
  </conditionalFormatting>
  <conditionalFormatting sqref="W20">
    <cfRule type="cellIs" dxfId="41" priority="3" operator="greaterThan">
      <formula>1</formula>
    </cfRule>
    <cfRule type="cellIs" dxfId="40" priority="4" operator="greaterThan">
      <formula>1</formula>
    </cfRule>
  </conditionalFormatting>
  <conditionalFormatting sqref="Z20 W20">
    <cfRule type="cellIs" dxfId="39" priority="2" operator="greaterThan">
      <formula>0.99</formula>
    </cfRule>
  </conditionalFormatting>
  <conditionalFormatting sqref="Z20 W20">
    <cfRule type="cellIs" dxfId="38" priority="1" operator="lessThan">
      <formula>0.99</formula>
    </cfRule>
  </conditionalFormatting>
  <pageMargins left="0.7" right="0.7" top="0.75" bottom="0.75" header="0.3" footer="0.3"/>
  <pageSetup paperSize="9" scale="46" fitToHeight="0" orientation="landscape" verticalDpi="0" r:id="rId1"/>
  <rowBreaks count="1" manualBreakCount="1">
    <brk id="69" max="25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2:AI940"/>
  <sheetViews>
    <sheetView topLeftCell="A52" zoomScale="80" zoomScaleNormal="80" workbookViewId="0">
      <selection activeCell="K25" sqref="K25"/>
    </sheetView>
  </sheetViews>
  <sheetFormatPr defaultColWidth="14.42578125" defaultRowHeight="15.75" customHeight="1" x14ac:dyDescent="0.2"/>
  <cols>
    <col min="1" max="1" width="2.28515625" style="4" customWidth="1"/>
    <col min="2" max="2" width="9.7109375" style="4" customWidth="1"/>
    <col min="3" max="3" width="14.42578125" style="4"/>
    <col min="4" max="4" width="10.7109375" style="4" customWidth="1"/>
    <col min="5" max="5" width="12.7109375" style="4" customWidth="1"/>
    <col min="6" max="6" width="10.28515625" style="4" customWidth="1"/>
    <col min="7" max="7" width="11.7109375" style="4" customWidth="1"/>
    <col min="8" max="8" width="13.28515625" style="4" customWidth="1"/>
    <col min="9" max="9" width="9" style="4" customWidth="1"/>
    <col min="10" max="10" width="6.28515625" style="4" customWidth="1"/>
    <col min="11" max="11" width="7.7109375" style="4" customWidth="1"/>
    <col min="12" max="12" width="6.28515625" style="4" customWidth="1"/>
    <col min="13" max="16" width="7.28515625" style="4" customWidth="1"/>
    <col min="17" max="17" width="6.42578125" style="4" customWidth="1"/>
    <col min="18" max="18" width="7.7109375" style="4" customWidth="1"/>
    <col min="19" max="19" width="10.7109375" style="4" customWidth="1"/>
    <col min="20" max="20" width="11.28515625" style="4" customWidth="1"/>
    <col min="21" max="22" width="11" style="4" customWidth="1"/>
    <col min="23" max="23" width="13.28515625" style="4" customWidth="1"/>
    <col min="24" max="24" width="11.5703125" style="4" customWidth="1"/>
    <col min="25" max="25" width="11.7109375" style="4" customWidth="1"/>
    <col min="26" max="26" width="10.5703125" style="4" customWidth="1"/>
    <col min="27" max="16384" width="14.42578125" style="4"/>
  </cols>
  <sheetData>
    <row r="2" spans="1:34" x14ac:dyDescent="0.25">
      <c r="B2" s="5" t="s">
        <v>233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T2" s="2"/>
      <c r="U2" s="2"/>
      <c r="V2" s="2"/>
      <c r="W2" s="2"/>
      <c r="X2" s="2"/>
      <c r="Y2" s="2"/>
      <c r="Z2" s="6"/>
      <c r="AA2" s="2"/>
      <c r="AB2" s="2"/>
      <c r="AC2" s="2"/>
      <c r="AD2" s="2"/>
      <c r="AE2" s="2"/>
      <c r="AF2" s="2"/>
      <c r="AG2" s="2"/>
      <c r="AH2" s="2"/>
    </row>
    <row r="3" spans="1:34" ht="15.75" customHeight="1" x14ac:dyDescent="0.2">
      <c r="E3" s="7"/>
      <c r="F3" s="2"/>
      <c r="G3" s="7"/>
      <c r="H3" s="7"/>
      <c r="I3" s="2"/>
      <c r="J3" s="8"/>
      <c r="K3" s="7"/>
      <c r="L3" s="2"/>
      <c r="M3" s="2"/>
      <c r="N3" s="2"/>
      <c r="O3" s="2"/>
      <c r="P3" s="2"/>
      <c r="Q3" s="2"/>
      <c r="R3" s="2"/>
      <c r="T3" s="2"/>
      <c r="U3" s="2"/>
      <c r="V3" s="2"/>
      <c r="W3" s="2"/>
      <c r="X3" s="2"/>
      <c r="Y3" s="2"/>
      <c r="Z3" s="6"/>
      <c r="AA3" s="2"/>
      <c r="AB3" s="2"/>
      <c r="AC3" s="2"/>
      <c r="AD3" s="2"/>
      <c r="AE3" s="2"/>
      <c r="AF3" s="2"/>
      <c r="AG3" s="2"/>
      <c r="AH3" s="2"/>
    </row>
    <row r="4" spans="1:34" ht="15.75" customHeight="1" x14ac:dyDescent="0.2">
      <c r="B4" s="7" t="s">
        <v>46</v>
      </c>
      <c r="C4" s="2"/>
      <c r="D4" s="84" t="s">
        <v>3</v>
      </c>
      <c r="E4" s="7"/>
      <c r="F4" s="2"/>
      <c r="G4" s="7"/>
      <c r="H4" s="7"/>
      <c r="I4" s="2"/>
      <c r="J4" s="8"/>
      <c r="K4" s="7"/>
      <c r="L4" s="2"/>
      <c r="M4" s="2"/>
      <c r="N4" s="2"/>
      <c r="X4" s="2"/>
      <c r="Y4" s="2"/>
      <c r="Z4" s="6"/>
      <c r="AA4" s="2"/>
      <c r="AB4" s="2"/>
      <c r="AC4" s="2"/>
      <c r="AD4" s="2"/>
      <c r="AE4" s="2"/>
      <c r="AF4" s="2"/>
      <c r="AG4" s="2"/>
      <c r="AH4" s="2"/>
    </row>
    <row r="5" spans="1:34" ht="15.75" customHeight="1" x14ac:dyDescent="0.2">
      <c r="A5" s="34"/>
      <c r="B5" s="7" t="s">
        <v>47</v>
      </c>
      <c r="C5" s="2"/>
      <c r="D5" s="8">
        <v>50</v>
      </c>
      <c r="E5" s="34"/>
      <c r="F5" s="64"/>
      <c r="G5" s="34"/>
      <c r="H5" s="34"/>
      <c r="I5" s="7"/>
      <c r="J5" s="2"/>
      <c r="K5" s="2"/>
      <c r="L5" s="2"/>
      <c r="M5" s="2"/>
      <c r="N5" s="2"/>
      <c r="X5" s="2"/>
      <c r="Y5" s="2"/>
      <c r="Z5" s="6"/>
      <c r="AA5" s="2"/>
      <c r="AB5" s="2"/>
      <c r="AC5" s="2"/>
      <c r="AD5" s="2"/>
      <c r="AE5" s="2"/>
      <c r="AF5" s="2"/>
      <c r="AG5" s="2"/>
      <c r="AH5" s="2"/>
    </row>
    <row r="6" spans="1:34" ht="25.5" x14ac:dyDescent="0.2">
      <c r="A6" s="34"/>
      <c r="B6" s="7" t="s">
        <v>48</v>
      </c>
      <c r="C6" s="2"/>
      <c r="D6" s="8">
        <v>39</v>
      </c>
      <c r="E6" s="1"/>
      <c r="F6" s="1"/>
      <c r="G6" s="34"/>
      <c r="H6" s="34"/>
      <c r="I6" s="7"/>
      <c r="J6" s="2"/>
      <c r="K6" s="2"/>
      <c r="L6" s="2"/>
      <c r="M6" s="2"/>
      <c r="N6" s="2"/>
      <c r="T6" s="359" t="s">
        <v>153</v>
      </c>
      <c r="U6" s="36" t="s">
        <v>53</v>
      </c>
      <c r="V6" s="37" t="s">
        <v>54</v>
      </c>
      <c r="W6" s="37" t="s">
        <v>55</v>
      </c>
      <c r="X6" s="37" t="s">
        <v>56</v>
      </c>
      <c r="Y6" s="37" t="s">
        <v>57</v>
      </c>
      <c r="Z6" s="38" t="s">
        <v>58</v>
      </c>
      <c r="AA6" s="2"/>
      <c r="AB6" s="2"/>
      <c r="AC6" s="2"/>
      <c r="AD6" s="2"/>
      <c r="AE6" s="2"/>
      <c r="AF6" s="2"/>
      <c r="AG6" s="2"/>
      <c r="AH6" s="2"/>
    </row>
    <row r="7" spans="1:34" ht="15.75" customHeight="1" x14ac:dyDescent="0.2">
      <c r="A7" s="34"/>
      <c r="B7" s="7" t="s">
        <v>49</v>
      </c>
      <c r="C7" s="2"/>
      <c r="D7" s="8">
        <f>D5-D6</f>
        <v>11</v>
      </c>
      <c r="E7" s="1"/>
      <c r="F7" s="1"/>
      <c r="G7" s="34"/>
      <c r="H7" s="34"/>
      <c r="I7" s="7"/>
      <c r="J7" s="2"/>
      <c r="K7" s="2"/>
      <c r="L7" s="2"/>
      <c r="M7" s="2"/>
      <c r="N7" s="2"/>
      <c r="T7" s="359"/>
      <c r="U7" s="93">
        <v>228359.7017639571</v>
      </c>
      <c r="V7" s="40">
        <f>SUM(G23:G23)</f>
        <v>141759</v>
      </c>
      <c r="W7" s="41">
        <f>V7/U7</f>
        <v>0.62077064782002778</v>
      </c>
      <c r="X7" s="67">
        <v>502.3</v>
      </c>
      <c r="Y7" s="92">
        <f>SUM(X23:X23)</f>
        <v>502.3</v>
      </c>
      <c r="Z7" s="41">
        <f>Y7/X7</f>
        <v>1</v>
      </c>
      <c r="AA7" s="2"/>
      <c r="AB7" s="2"/>
      <c r="AC7" s="2"/>
      <c r="AD7" s="2"/>
      <c r="AE7" s="2"/>
      <c r="AF7" s="2"/>
      <c r="AG7" s="2"/>
      <c r="AH7" s="2"/>
    </row>
    <row r="8" spans="1:34" ht="15.75" customHeight="1" x14ac:dyDescent="0.2">
      <c r="A8" s="34"/>
      <c r="B8" s="7" t="s">
        <v>50</v>
      </c>
      <c r="C8" s="2"/>
      <c r="D8" s="91">
        <f>X7+X10+X13</f>
        <v>28631.5</v>
      </c>
      <c r="E8" s="1"/>
      <c r="F8" s="1"/>
      <c r="G8" s="34"/>
      <c r="H8" s="34"/>
      <c r="I8" s="7"/>
      <c r="J8" s="2"/>
      <c r="K8" s="2"/>
      <c r="L8" s="2"/>
      <c r="M8" s="2"/>
      <c r="N8" s="2"/>
      <c r="U8" s="44"/>
      <c r="V8" s="48"/>
      <c r="W8" s="45"/>
      <c r="X8" s="46"/>
      <c r="Y8" s="47"/>
      <c r="Z8" s="45"/>
      <c r="AA8" s="2"/>
      <c r="AB8" s="2"/>
      <c r="AC8" s="2"/>
      <c r="AD8" s="2"/>
      <c r="AE8" s="2"/>
      <c r="AF8" s="2"/>
      <c r="AG8" s="2"/>
      <c r="AH8" s="2"/>
    </row>
    <row r="9" spans="1:34" ht="25.5" x14ac:dyDescent="0.2">
      <c r="B9" s="35" t="s">
        <v>51</v>
      </c>
      <c r="C9" s="1"/>
      <c r="D9" s="101" t="s">
        <v>52</v>
      </c>
      <c r="E9" s="1"/>
      <c r="F9" s="1"/>
      <c r="I9" s="7"/>
      <c r="J9" s="2"/>
      <c r="K9" s="2"/>
      <c r="L9" s="2"/>
      <c r="M9" s="2"/>
      <c r="N9" s="2"/>
      <c r="P9" s="231"/>
      <c r="T9" s="357" t="s">
        <v>154</v>
      </c>
      <c r="U9" s="37" t="s">
        <v>53</v>
      </c>
      <c r="V9" s="37" t="s">
        <v>54</v>
      </c>
      <c r="W9" s="37" t="s">
        <v>55</v>
      </c>
      <c r="X9" s="37" t="s">
        <v>56</v>
      </c>
      <c r="Y9" s="37" t="s">
        <v>57</v>
      </c>
      <c r="Z9" s="38" t="s">
        <v>58</v>
      </c>
      <c r="AA9" s="2"/>
      <c r="AB9" s="2"/>
      <c r="AC9" s="2"/>
      <c r="AD9" s="2"/>
      <c r="AE9" s="2"/>
      <c r="AF9" s="2"/>
      <c r="AG9" s="2"/>
      <c r="AH9" s="2"/>
    </row>
    <row r="10" spans="1:34" ht="15.75" customHeight="1" x14ac:dyDescent="0.2">
      <c r="B10" s="35" t="s">
        <v>59</v>
      </c>
      <c r="C10" s="1"/>
      <c r="D10" s="90">
        <v>43482</v>
      </c>
      <c r="E10" s="1"/>
      <c r="F10" s="1"/>
      <c r="I10" s="7"/>
      <c r="J10" s="2"/>
      <c r="K10" s="2"/>
      <c r="L10" s="2"/>
      <c r="M10" s="2"/>
      <c r="N10" s="2"/>
      <c r="T10" s="357"/>
      <c r="U10" s="93">
        <v>12788325.150027281</v>
      </c>
      <c r="V10" s="40">
        <f>G58-V7</f>
        <v>17035111</v>
      </c>
      <c r="W10" s="41">
        <f>V10/U10</f>
        <v>1.3320830366878542</v>
      </c>
      <c r="X10" s="42">
        <f>28129.2-X13</f>
        <v>25168.260000000002</v>
      </c>
      <c r="Y10" s="92">
        <f>X58-Y7</f>
        <v>17544.312749999997</v>
      </c>
      <c r="Z10" s="41">
        <f>Y10/X10</f>
        <v>0.69708087686633868</v>
      </c>
      <c r="AA10" s="2"/>
      <c r="AB10" s="2"/>
      <c r="AC10" s="2"/>
      <c r="AD10" s="2"/>
      <c r="AE10" s="2"/>
      <c r="AF10" s="2"/>
      <c r="AG10" s="2"/>
      <c r="AH10" s="2"/>
    </row>
    <row r="11" spans="1:34" ht="15.75" customHeight="1" x14ac:dyDescent="0.2">
      <c r="B11" s="35"/>
      <c r="C11" s="1"/>
      <c r="D11" s="33"/>
      <c r="E11" s="1"/>
      <c r="F11" s="1"/>
      <c r="I11" s="7"/>
      <c r="J11" s="2"/>
      <c r="K11" s="2"/>
      <c r="L11" s="2"/>
      <c r="M11" s="2"/>
      <c r="N11" s="2"/>
      <c r="T11" s="48"/>
      <c r="U11" s="48"/>
      <c r="V11" s="49"/>
      <c r="W11" s="50"/>
      <c r="X11" s="51"/>
      <c r="Y11" s="49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26.25" customHeight="1" x14ac:dyDescent="0.2">
      <c r="B12" s="35"/>
      <c r="C12" s="1"/>
      <c r="D12" s="33"/>
      <c r="E12" s="1"/>
      <c r="F12" s="1"/>
      <c r="I12" s="7"/>
      <c r="J12" s="2"/>
      <c r="K12" s="2"/>
      <c r="L12" s="2"/>
      <c r="M12" s="2"/>
      <c r="N12" s="2"/>
      <c r="T12" s="357" t="s">
        <v>154</v>
      </c>
      <c r="U12" s="37" t="s">
        <v>234</v>
      </c>
      <c r="V12" s="37" t="s">
        <v>54</v>
      </c>
      <c r="W12" s="37" t="s">
        <v>55</v>
      </c>
      <c r="X12" s="37" t="s">
        <v>56</v>
      </c>
      <c r="Y12" s="37" t="s">
        <v>57</v>
      </c>
      <c r="Z12" s="38" t="s">
        <v>58</v>
      </c>
      <c r="AA12" s="2"/>
      <c r="AB12" s="2"/>
      <c r="AC12" s="2"/>
      <c r="AD12" s="2"/>
      <c r="AE12" s="2"/>
      <c r="AF12" s="2"/>
      <c r="AG12" s="2"/>
      <c r="AH12" s="2"/>
    </row>
    <row r="13" spans="1:34" ht="15.75" customHeight="1" x14ac:dyDescent="0.2">
      <c r="B13" s="35"/>
      <c r="C13" s="1"/>
      <c r="D13" s="33"/>
      <c r="E13" s="1"/>
      <c r="F13" s="1"/>
      <c r="I13" s="7"/>
      <c r="J13" s="2"/>
      <c r="K13" s="2"/>
      <c r="L13" s="2"/>
      <c r="M13" s="2"/>
      <c r="N13" s="2"/>
      <c r="T13" s="357"/>
      <c r="U13" s="93">
        <f>X13/0.05</f>
        <v>59218.799999999988</v>
      </c>
      <c r="V13" s="40">
        <f>I71</f>
        <v>251102</v>
      </c>
      <c r="W13" s="41">
        <f>V13/U13</f>
        <v>4.2402412747303231</v>
      </c>
      <c r="X13" s="42">
        <f>W71</f>
        <v>2960.9399999999996</v>
      </c>
      <c r="Y13" s="92">
        <f>X71</f>
        <v>2960.9647500000001</v>
      </c>
      <c r="Z13" s="41">
        <f>Y13/X13</f>
        <v>1.0000083588319928</v>
      </c>
      <c r="AA13" s="2"/>
      <c r="AB13" s="2"/>
      <c r="AC13" s="2"/>
      <c r="AD13" s="2"/>
      <c r="AE13" s="2"/>
      <c r="AF13" s="2"/>
      <c r="AG13" s="2"/>
      <c r="AH13" s="2"/>
    </row>
    <row r="14" spans="1:34" ht="15.75" customHeight="1" thickBot="1" x14ac:dyDescent="0.25">
      <c r="B14" s="35"/>
      <c r="C14" s="1"/>
      <c r="D14" s="33"/>
      <c r="E14" s="1"/>
      <c r="F14" s="1"/>
      <c r="I14" s="7"/>
      <c r="J14" s="2"/>
      <c r="K14" s="2"/>
      <c r="L14" s="2"/>
      <c r="M14" s="2"/>
      <c r="N14" s="2"/>
      <c r="T14" s="48"/>
      <c r="U14" s="48"/>
      <c r="V14" s="49"/>
      <c r="W14" s="50"/>
      <c r="X14" s="51"/>
      <c r="Y14" s="49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5.75" customHeight="1" x14ac:dyDescent="0.2">
      <c r="B15" s="63" t="s">
        <v>60</v>
      </c>
      <c r="C15" s="52"/>
      <c r="D15" s="53"/>
      <c r="E15" s="52"/>
      <c r="F15" s="52"/>
      <c r="G15" s="54"/>
      <c r="H15" s="54"/>
      <c r="I15" s="55"/>
      <c r="J15" s="52"/>
      <c r="K15" s="52"/>
      <c r="L15" s="52"/>
      <c r="M15" s="52"/>
      <c r="N15" s="52"/>
      <c r="O15" s="54"/>
      <c r="P15" s="54"/>
      <c r="Q15" s="54"/>
      <c r="R15" s="54"/>
      <c r="S15" s="54"/>
      <c r="T15" s="54"/>
      <c r="U15" s="54"/>
      <c r="V15" s="54"/>
      <c r="W15" s="52"/>
      <c r="X15" s="52"/>
      <c r="Y15" s="53"/>
      <c r="Z15" s="86"/>
      <c r="AA15" s="1"/>
      <c r="AB15" s="2"/>
      <c r="AC15" s="2"/>
      <c r="AD15" s="2"/>
      <c r="AE15" s="2"/>
      <c r="AF15" s="2"/>
      <c r="AG15" s="2"/>
      <c r="AH15" s="2"/>
    </row>
    <row r="16" spans="1:34" ht="15.75" customHeight="1" x14ac:dyDescent="0.2">
      <c r="B16" s="65"/>
      <c r="C16" s="1"/>
      <c r="D16" s="33"/>
      <c r="E16" s="1"/>
      <c r="F16" s="1"/>
      <c r="G16" s="34"/>
      <c r="H16" s="34"/>
      <c r="I16" s="35"/>
      <c r="J16" s="1"/>
      <c r="K16" s="1"/>
      <c r="L16" s="1"/>
      <c r="M16" s="1"/>
      <c r="N16" s="1"/>
      <c r="O16" s="34"/>
      <c r="P16" s="34"/>
      <c r="Q16" s="34"/>
      <c r="R16" s="34"/>
      <c r="S16" s="34"/>
      <c r="T16" s="34"/>
      <c r="U16" s="34"/>
      <c r="V16" s="34"/>
      <c r="W16" s="1"/>
      <c r="X16" s="1"/>
      <c r="Y16" s="33"/>
      <c r="Z16" s="87"/>
      <c r="AA16" s="1"/>
      <c r="AB16" s="2"/>
      <c r="AC16" s="2"/>
      <c r="AD16" s="2"/>
      <c r="AE16" s="2"/>
      <c r="AF16" s="2"/>
      <c r="AG16" s="2"/>
      <c r="AH16" s="2"/>
    </row>
    <row r="17" spans="2:35" ht="12.75" x14ac:dyDescent="0.2">
      <c r="B17" s="57"/>
      <c r="C17" s="1"/>
      <c r="D17" s="33"/>
      <c r="E17" s="1"/>
      <c r="F17" s="1"/>
      <c r="G17" s="34"/>
      <c r="H17" s="34"/>
      <c r="I17" s="35"/>
      <c r="J17" s="1"/>
      <c r="K17" s="1"/>
      <c r="L17" s="1"/>
      <c r="M17" s="1"/>
      <c r="N17" s="1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87"/>
      <c r="AA17" s="1"/>
      <c r="AB17" s="2"/>
      <c r="AC17" s="2"/>
      <c r="AD17" s="2"/>
      <c r="AE17" s="2"/>
      <c r="AF17" s="2"/>
      <c r="AG17" s="2"/>
      <c r="AH17" s="2"/>
    </row>
    <row r="18" spans="2:35" ht="15.75" customHeight="1" x14ac:dyDescent="0.2">
      <c r="B18" s="57"/>
      <c r="C18" s="1"/>
      <c r="D18" s="33"/>
      <c r="E18" s="1"/>
      <c r="F18" s="1"/>
      <c r="G18" s="34"/>
      <c r="H18" s="34"/>
      <c r="I18" s="35"/>
      <c r="J18" s="1"/>
      <c r="K18" s="1"/>
      <c r="L18" s="1"/>
      <c r="M18" s="1"/>
      <c r="N18" s="1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87"/>
      <c r="AA18" s="1"/>
      <c r="AB18" s="2"/>
      <c r="AC18" s="306">
        <f>Y7+Y10+Y13</f>
        <v>21007.577499999996</v>
      </c>
      <c r="AD18" s="2"/>
      <c r="AE18" s="2"/>
      <c r="AF18" s="2"/>
      <c r="AG18" s="2"/>
      <c r="AH18" s="2"/>
    </row>
    <row r="19" spans="2:35" ht="15.75" customHeight="1" thickBot="1" x14ac:dyDescent="0.25">
      <c r="B19" s="59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61"/>
      <c r="Q19" s="61"/>
      <c r="R19" s="61"/>
      <c r="S19" s="61"/>
      <c r="T19" s="61"/>
      <c r="U19" s="61"/>
      <c r="V19" s="61"/>
      <c r="W19" s="60"/>
      <c r="X19" s="60"/>
      <c r="Y19" s="88"/>
      <c r="Z19" s="89"/>
      <c r="AA19" s="1"/>
      <c r="AB19" s="2"/>
      <c r="AC19" s="2"/>
      <c r="AD19" s="2"/>
      <c r="AE19" s="2"/>
      <c r="AF19" s="2"/>
      <c r="AG19" s="2"/>
      <c r="AH19" s="2"/>
    </row>
    <row r="20" spans="2:35" ht="15.75" customHeight="1" x14ac:dyDescent="0.2">
      <c r="B20" s="9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6"/>
      <c r="Z20" s="2"/>
      <c r="AA20" s="2"/>
      <c r="AB20" s="2"/>
      <c r="AC20" s="2"/>
      <c r="AD20" s="2"/>
      <c r="AE20" s="2"/>
      <c r="AF20" s="2"/>
      <c r="AG20" s="2"/>
      <c r="AH20" s="2"/>
    </row>
    <row r="21" spans="2:35" ht="15.75" customHeight="1" x14ac:dyDescent="0.2">
      <c r="B21" s="352" t="s">
        <v>158</v>
      </c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52"/>
      <c r="Z21" s="352"/>
      <c r="AA21" s="2"/>
      <c r="AB21" s="2"/>
      <c r="AC21" s="2"/>
      <c r="AD21" s="2"/>
      <c r="AE21" s="2"/>
      <c r="AF21" s="2"/>
      <c r="AG21" s="2"/>
      <c r="AH21" s="2"/>
      <c r="AI21" s="2"/>
    </row>
    <row r="22" spans="2:35" ht="25.5" x14ac:dyDescent="0.2">
      <c r="B22" s="85" t="s">
        <v>159</v>
      </c>
      <c r="C22" s="13" t="s">
        <v>62</v>
      </c>
      <c r="D22" s="13" t="s">
        <v>63</v>
      </c>
      <c r="E22" s="13" t="s">
        <v>64</v>
      </c>
      <c r="F22" s="13" t="s">
        <v>65</v>
      </c>
      <c r="G22" s="97" t="s">
        <v>66</v>
      </c>
      <c r="H22" s="13" t="s">
        <v>67</v>
      </c>
      <c r="I22" s="13" t="s">
        <v>68</v>
      </c>
      <c r="J22" s="13" t="s">
        <v>21</v>
      </c>
      <c r="K22" s="13" t="s">
        <v>69</v>
      </c>
      <c r="L22" s="13" t="s">
        <v>70</v>
      </c>
      <c r="M22" s="13" t="s">
        <v>71</v>
      </c>
      <c r="N22" s="13" t="s">
        <v>72</v>
      </c>
      <c r="O22" s="13" t="s">
        <v>73</v>
      </c>
      <c r="P22" s="13" t="s">
        <v>74</v>
      </c>
      <c r="Q22" s="13" t="s">
        <v>75</v>
      </c>
      <c r="R22" s="13" t="s">
        <v>76</v>
      </c>
      <c r="S22" s="13" t="s">
        <v>77</v>
      </c>
      <c r="T22" s="13" t="s">
        <v>78</v>
      </c>
      <c r="U22" s="13" t="s">
        <v>79</v>
      </c>
      <c r="V22" s="13" t="s">
        <v>80</v>
      </c>
      <c r="W22" s="13" t="s">
        <v>81</v>
      </c>
      <c r="X22" s="14" t="s">
        <v>82</v>
      </c>
      <c r="Y22" s="14" t="s">
        <v>83</v>
      </c>
      <c r="Z22" s="15" t="s">
        <v>84</v>
      </c>
      <c r="AA22" s="2"/>
      <c r="AB22" s="2"/>
      <c r="AC22" s="2"/>
      <c r="AD22" s="2"/>
      <c r="AE22" s="2"/>
      <c r="AF22" s="2"/>
      <c r="AG22" s="2"/>
      <c r="AH22" s="2"/>
    </row>
    <row r="23" spans="2:35" ht="15.75" customHeight="1" x14ac:dyDescent="0.2">
      <c r="B23" s="314" t="s">
        <v>153</v>
      </c>
      <c r="C23" s="10" t="s">
        <v>160</v>
      </c>
      <c r="D23" s="12" t="str">
        <f>HYPERLINK("https://www.facebook.com/ZespriTH/videos/834730403382098/","13 Apr")</f>
        <v>13 Apr</v>
      </c>
      <c r="E23" s="79">
        <v>5488</v>
      </c>
      <c r="F23" s="79">
        <v>139164</v>
      </c>
      <c r="G23" s="94">
        <v>141759</v>
      </c>
      <c r="H23" s="25">
        <f>E23/G23</f>
        <v>3.8713591376914339E-2</v>
      </c>
      <c r="I23" s="3">
        <v>5418</v>
      </c>
      <c r="J23" s="25">
        <f>I23/G23</f>
        <v>3.8219795568535331E-2</v>
      </c>
      <c r="K23" s="3">
        <v>1836</v>
      </c>
      <c r="L23" s="25">
        <f>K23/G23</f>
        <v>1.2951558631198019E-2</v>
      </c>
      <c r="M23" s="25">
        <f>11832/G23</f>
        <v>8.3465600067720566E-2</v>
      </c>
      <c r="N23" s="25">
        <f>4467/G23</f>
        <v>3.1511226800414786E-2</v>
      </c>
      <c r="O23" s="25">
        <f>2496/G23</f>
        <v>1.7607347681628679E-2</v>
      </c>
      <c r="P23" s="25">
        <f>1783/G23</f>
        <v>1.2577684661996769E-2</v>
      </c>
      <c r="Q23" s="3">
        <v>1</v>
      </c>
      <c r="R23" s="3" t="s">
        <v>34</v>
      </c>
      <c r="S23" s="3">
        <v>0</v>
      </c>
      <c r="T23" s="3">
        <v>69</v>
      </c>
      <c r="U23" s="3">
        <v>0</v>
      </c>
      <c r="V23" s="3">
        <v>246</v>
      </c>
      <c r="W23" s="22">
        <v>502.3</v>
      </c>
      <c r="X23" s="22">
        <v>502.3</v>
      </c>
      <c r="Y23" s="22">
        <f>W23-X23</f>
        <v>0</v>
      </c>
      <c r="Z23" s="10">
        <v>5</v>
      </c>
      <c r="AA23" s="11"/>
      <c r="AB23" s="11"/>
      <c r="AC23" s="11"/>
      <c r="AD23" s="11"/>
      <c r="AE23" s="11"/>
      <c r="AF23" s="11"/>
      <c r="AG23" s="11"/>
      <c r="AH23" s="11"/>
    </row>
    <row r="24" spans="2:35" ht="15.75" customHeight="1" x14ac:dyDescent="0.2">
      <c r="B24" s="359" t="s">
        <v>161</v>
      </c>
      <c r="C24" s="10" t="s">
        <v>163</v>
      </c>
      <c r="D24" s="12" t="str">
        <f>HYPERLINK("https://www.facebook.com/ZespriTH/videos/834730603382078/","30 Apr")</f>
        <v>30 Apr</v>
      </c>
      <c r="E24" s="3">
        <v>11974</v>
      </c>
      <c r="F24" s="3">
        <v>313149</v>
      </c>
      <c r="G24" s="94">
        <v>478922</v>
      </c>
      <c r="H24" s="25">
        <f t="shared" ref="H24:H27" si="0">E24/G24</f>
        <v>2.5001983621550063E-2</v>
      </c>
      <c r="I24" s="3">
        <v>11800</v>
      </c>
      <c r="J24" s="25">
        <f>I24/G24</f>
        <v>2.4638667674485616E-2</v>
      </c>
      <c r="K24" s="3">
        <v>2062</v>
      </c>
      <c r="L24" s="27">
        <f>K24/G24</f>
        <v>4.3055027749821471E-3</v>
      </c>
      <c r="M24" s="25">
        <v>2.3425526494919802E-2</v>
      </c>
      <c r="N24" s="25">
        <v>9.6863372323676925E-3</v>
      </c>
      <c r="O24" s="25">
        <v>5.8882239696652064E-3</v>
      </c>
      <c r="P24" s="27">
        <v>4.1530771190298214E-3</v>
      </c>
      <c r="Q24" s="3">
        <v>23</v>
      </c>
      <c r="R24" s="3" t="s">
        <v>34</v>
      </c>
      <c r="S24" s="3">
        <v>1</v>
      </c>
      <c r="T24" s="3">
        <v>172</v>
      </c>
      <c r="U24" s="3">
        <v>1</v>
      </c>
      <c r="V24" s="3">
        <v>1653</v>
      </c>
      <c r="W24" s="22">
        <v>493.49</v>
      </c>
      <c r="X24" s="22">
        <f>1.41*349.9875</f>
        <v>493.48237499999999</v>
      </c>
      <c r="Y24" s="22">
        <f t="shared" ref="Y24:Y27" si="1">W24-X24</f>
        <v>7.6250000000186446E-3</v>
      </c>
      <c r="Z24" s="10">
        <v>3</v>
      </c>
      <c r="AA24" s="2"/>
      <c r="AB24" s="2"/>
      <c r="AC24" s="2"/>
      <c r="AD24" s="2"/>
      <c r="AE24" s="2"/>
      <c r="AF24" s="2"/>
      <c r="AG24" s="2"/>
      <c r="AH24" s="2"/>
      <c r="AI24" s="2"/>
    </row>
    <row r="25" spans="2:35" ht="15.75" customHeight="1" x14ac:dyDescent="0.2">
      <c r="B25" s="359"/>
      <c r="C25" s="10" t="s">
        <v>235</v>
      </c>
      <c r="D25" s="12" t="str">
        <f>HYPERLINK("https://www.facebook.com/ZespriTH/videos/844450159076789/","7 May")</f>
        <v>7 May</v>
      </c>
      <c r="E25" s="3">
        <v>10979</v>
      </c>
      <c r="F25" s="3">
        <v>295616</v>
      </c>
      <c r="G25" s="94">
        <v>450219</v>
      </c>
      <c r="H25" s="25">
        <f t="shared" si="0"/>
        <v>2.438590996825989E-2</v>
      </c>
      <c r="I25" s="3">
        <v>10849</v>
      </c>
      <c r="J25" s="25">
        <f>I25/G25</f>
        <v>2.4097161603575151E-2</v>
      </c>
      <c r="K25" s="3">
        <v>3430</v>
      </c>
      <c r="L25" s="27">
        <f>K25/G25</f>
        <v>7.6185145451435855E-3</v>
      </c>
      <c r="M25" s="25">
        <v>3.3827981493450968E-2</v>
      </c>
      <c r="N25" s="25">
        <v>1.5599075116776502E-2</v>
      </c>
      <c r="O25" s="25">
        <v>9.8485403770165181E-3</v>
      </c>
      <c r="P25" s="25">
        <v>7.3364296042592609E-3</v>
      </c>
      <c r="Q25" s="3">
        <v>31</v>
      </c>
      <c r="R25" s="3" t="s">
        <v>34</v>
      </c>
      <c r="S25" s="3">
        <v>1</v>
      </c>
      <c r="T25" s="3">
        <v>129</v>
      </c>
      <c r="U25" s="3">
        <v>0</v>
      </c>
      <c r="V25" s="3">
        <v>1801</v>
      </c>
      <c r="W25" s="22">
        <v>493.49</v>
      </c>
      <c r="X25" s="22">
        <f>1.41*350</f>
        <v>493.5</v>
      </c>
      <c r="Y25" s="22">
        <f t="shared" si="1"/>
        <v>-9.9999999999909051E-3</v>
      </c>
      <c r="Z25" s="10">
        <v>4</v>
      </c>
      <c r="AA25" s="2"/>
      <c r="AB25" s="2"/>
      <c r="AC25" s="2"/>
      <c r="AD25" s="2"/>
      <c r="AE25" s="2"/>
      <c r="AF25" s="2"/>
      <c r="AG25" s="2"/>
      <c r="AH25" s="2"/>
      <c r="AI25" s="2"/>
    </row>
    <row r="26" spans="2:35" ht="15.75" customHeight="1" x14ac:dyDescent="0.2">
      <c r="B26" s="359"/>
      <c r="C26" s="10" t="s">
        <v>87</v>
      </c>
      <c r="D26" s="12" t="str">
        <f>HYPERLINK("https://www.facebook.com/ZespriTH/videos/844450445743427/","17 May")</f>
        <v>17 May</v>
      </c>
      <c r="E26" s="81">
        <v>5401</v>
      </c>
      <c r="F26" s="81">
        <v>247061</v>
      </c>
      <c r="G26" s="96">
        <v>373917</v>
      </c>
      <c r="H26" s="25">
        <f t="shared" si="0"/>
        <v>1.4444382042003974E-2</v>
      </c>
      <c r="I26" s="81">
        <v>5318</v>
      </c>
      <c r="J26" s="25">
        <f t="shared" ref="J26:J27" si="2">I26/G26</f>
        <v>1.4222407646616763E-2</v>
      </c>
      <c r="K26" s="81">
        <v>3492</v>
      </c>
      <c r="L26" s="25">
        <f t="shared" ref="L26:L27" si="3">K26/G26</f>
        <v>9.3389709480981072E-3</v>
      </c>
      <c r="M26" s="83">
        <v>4.2062810730723661E-2</v>
      </c>
      <c r="N26" s="83">
        <v>1.7811439437094328E-2</v>
      </c>
      <c r="O26" s="83">
        <v>1.1834177103474836E-2</v>
      </c>
      <c r="P26" s="83">
        <v>8.8174648384534531E-3</v>
      </c>
      <c r="Q26" s="82">
        <v>13</v>
      </c>
      <c r="R26" s="82" t="s">
        <v>34</v>
      </c>
      <c r="S26" s="82">
        <v>0</v>
      </c>
      <c r="T26" s="82">
        <v>83</v>
      </c>
      <c r="U26" s="82">
        <v>0</v>
      </c>
      <c r="V26" s="81">
        <v>1145</v>
      </c>
      <c r="W26" s="22">
        <v>493.49</v>
      </c>
      <c r="X26" s="76">
        <f>1.41*350</f>
        <v>493.5</v>
      </c>
      <c r="Y26" s="22">
        <f t="shared" si="1"/>
        <v>-9.9999999999909051E-3</v>
      </c>
      <c r="Z26" s="82">
        <v>3</v>
      </c>
      <c r="AA26" s="2"/>
      <c r="AB26" s="2"/>
      <c r="AC26" s="2"/>
      <c r="AD26" s="2"/>
      <c r="AE26" s="2"/>
      <c r="AF26" s="2"/>
      <c r="AG26" s="2"/>
      <c r="AH26" s="2"/>
      <c r="AI26" s="2"/>
    </row>
    <row r="27" spans="2:35" ht="15.75" customHeight="1" x14ac:dyDescent="0.2">
      <c r="B27" s="359"/>
      <c r="C27" s="10" t="s">
        <v>166</v>
      </c>
      <c r="D27" s="12" t="str">
        <f>HYPERLINK("https://www.facebook.com/ZespriTH/videos/844452592409879/","23 May")</f>
        <v>23 May</v>
      </c>
      <c r="E27" s="3">
        <v>16238</v>
      </c>
      <c r="F27" s="3">
        <v>260096</v>
      </c>
      <c r="G27" s="94">
        <v>388489</v>
      </c>
      <c r="H27" s="25">
        <f t="shared" si="0"/>
        <v>4.1797837261801495E-2</v>
      </c>
      <c r="I27" s="3">
        <v>16076</v>
      </c>
      <c r="J27" s="25">
        <f t="shared" si="2"/>
        <v>4.138083703785693E-2</v>
      </c>
      <c r="K27" s="3">
        <v>2122</v>
      </c>
      <c r="L27" s="25">
        <f t="shared" si="3"/>
        <v>5.4621881185825082E-3</v>
      </c>
      <c r="M27" s="25">
        <v>3.1673998491591783E-2</v>
      </c>
      <c r="N27" s="25">
        <v>1.4553822630756597E-2</v>
      </c>
      <c r="O27" s="25">
        <v>8.5588008926893687E-3</v>
      </c>
      <c r="P27" s="25">
        <v>5.1919101956554754E-3</v>
      </c>
      <c r="Q27" s="3">
        <v>10</v>
      </c>
      <c r="R27" s="3" t="s">
        <v>34</v>
      </c>
      <c r="S27" s="3">
        <v>0</v>
      </c>
      <c r="T27" s="3">
        <v>162</v>
      </c>
      <c r="U27" s="3">
        <v>0</v>
      </c>
      <c r="V27" s="3">
        <v>2627</v>
      </c>
      <c r="W27" s="22">
        <v>493.49</v>
      </c>
      <c r="X27" s="22">
        <f>1.41*350</f>
        <v>493.5</v>
      </c>
      <c r="Y27" s="22">
        <f t="shared" si="1"/>
        <v>-9.9999999999909051E-3</v>
      </c>
      <c r="Z27" s="10">
        <v>4</v>
      </c>
      <c r="AA27" s="2"/>
      <c r="AB27" s="2"/>
      <c r="AC27" s="2"/>
      <c r="AD27" s="2"/>
      <c r="AE27" s="2"/>
      <c r="AF27" s="2"/>
      <c r="AG27" s="2"/>
      <c r="AH27" s="2"/>
      <c r="AI27" s="2"/>
    </row>
    <row r="28" spans="2:35" ht="15.75" customHeight="1" x14ac:dyDescent="0.2">
      <c r="B28" s="359"/>
      <c r="C28" s="68" t="s">
        <v>236</v>
      </c>
      <c r="D28" s="12" t="str">
        <f>HYPERLINK("https://www.facebook.com/ZespriTH/videos/844451032410035/","28 May")</f>
        <v>28 May</v>
      </c>
      <c r="E28" s="3">
        <v>26322</v>
      </c>
      <c r="F28" s="3">
        <v>311360</v>
      </c>
      <c r="G28" s="94">
        <v>473577</v>
      </c>
      <c r="H28" s="25">
        <f>E28/G28</f>
        <v>5.5581246555470386E-2</v>
      </c>
      <c r="I28" s="3">
        <v>26057</v>
      </c>
      <c r="J28" s="25">
        <f>I28/G28</f>
        <v>5.5021675461434993E-2</v>
      </c>
      <c r="K28" s="3">
        <v>14720</v>
      </c>
      <c r="L28" s="25">
        <f>K28/G28</f>
        <v>3.1082590581890591E-2</v>
      </c>
      <c r="M28" s="25">
        <v>7.4923402107788167E-2</v>
      </c>
      <c r="N28" s="25">
        <v>5.0481759038128966E-2</v>
      </c>
      <c r="O28" s="25">
        <v>3.9497272882762467E-2</v>
      </c>
      <c r="P28" s="25">
        <v>2.98620921201832E-2</v>
      </c>
      <c r="Q28" s="3">
        <v>47</v>
      </c>
      <c r="R28" s="3" t="s">
        <v>34</v>
      </c>
      <c r="S28" s="3">
        <v>3</v>
      </c>
      <c r="T28" s="3">
        <v>251</v>
      </c>
      <c r="U28" s="3">
        <v>11</v>
      </c>
      <c r="V28" s="3">
        <v>4827</v>
      </c>
      <c r="W28" s="22">
        <v>493.49</v>
      </c>
      <c r="X28" s="22">
        <v>493.5</v>
      </c>
      <c r="Y28" s="22">
        <f>W28-X28</f>
        <v>-9.9999999999909051E-3</v>
      </c>
      <c r="Z28" s="10">
        <v>6</v>
      </c>
      <c r="AA28" s="2"/>
      <c r="AB28" s="2"/>
      <c r="AC28" s="2"/>
      <c r="AD28" s="2"/>
      <c r="AE28" s="2"/>
      <c r="AF28" s="2"/>
      <c r="AG28" s="2"/>
      <c r="AH28" s="2"/>
      <c r="AI28" s="2"/>
    </row>
    <row r="29" spans="2:35" ht="15.75" customHeight="1" x14ac:dyDescent="0.2">
      <c r="B29" s="359"/>
      <c r="C29" s="68" t="s">
        <v>237</v>
      </c>
      <c r="D29" s="12" t="str">
        <f>HYPERLINK("https://www.facebook.com/ZespriTH/videos/844449349076870//","5 Jun")</f>
        <v>5 Jun</v>
      </c>
      <c r="E29" s="3">
        <v>21747</v>
      </c>
      <c r="F29" s="3">
        <v>301440</v>
      </c>
      <c r="G29" s="94">
        <v>439168</v>
      </c>
      <c r="H29" s="25">
        <f t="shared" ref="H29:H30" si="4">E29/G29</f>
        <v>4.9518635237540076E-2</v>
      </c>
      <c r="I29" s="3">
        <v>21647</v>
      </c>
      <c r="J29" s="25">
        <f t="shared" ref="J29:J30" si="5">I29/G29</f>
        <v>4.9290931944039641E-2</v>
      </c>
      <c r="K29" s="3">
        <v>21647</v>
      </c>
      <c r="L29" s="25">
        <f t="shared" ref="L29:L30" si="6">K29/G29</f>
        <v>4.9290931944039641E-2</v>
      </c>
      <c r="M29" s="25">
        <v>0.2307863960944331</v>
      </c>
      <c r="N29" s="25">
        <v>0.11633133561643835</v>
      </c>
      <c r="O29" s="25">
        <v>7.0134891431069657E-2</v>
      </c>
      <c r="P29" s="25">
        <v>4.6335343194403966E-2</v>
      </c>
      <c r="Q29" s="3">
        <v>22</v>
      </c>
      <c r="R29" s="3" t="s">
        <v>34</v>
      </c>
      <c r="S29" s="3">
        <v>1</v>
      </c>
      <c r="T29" s="3">
        <v>98</v>
      </c>
      <c r="U29" s="3">
        <v>1</v>
      </c>
      <c r="V29" s="3">
        <v>1799</v>
      </c>
      <c r="W29" s="22">
        <v>493.49</v>
      </c>
      <c r="X29" s="22">
        <v>493.5</v>
      </c>
      <c r="Y29" s="22">
        <f t="shared" ref="Y29:Y57" si="7">W29-X29</f>
        <v>-9.9999999999909051E-3</v>
      </c>
      <c r="Z29" s="10">
        <v>4</v>
      </c>
      <c r="AA29" s="2"/>
      <c r="AB29" s="2"/>
      <c r="AC29" s="2"/>
      <c r="AD29" s="2"/>
      <c r="AE29" s="2"/>
      <c r="AF29" s="2"/>
      <c r="AG29" s="2"/>
      <c r="AH29" s="2"/>
      <c r="AI29" s="2"/>
    </row>
    <row r="30" spans="2:35" ht="15.75" customHeight="1" x14ac:dyDescent="0.2">
      <c r="B30" s="359"/>
      <c r="C30" s="68" t="s">
        <v>238</v>
      </c>
      <c r="D30" s="12" t="str">
        <f>HYPERLINK("https://www.facebook.com/ZespriTH/videos/859388164249655/","6 Jun")</f>
        <v>6 Jun</v>
      </c>
      <c r="E30" s="3">
        <v>9521</v>
      </c>
      <c r="F30" s="3">
        <v>293633</v>
      </c>
      <c r="G30" s="94">
        <v>428327</v>
      </c>
      <c r="H30" s="25">
        <f t="shared" si="4"/>
        <v>2.2228344232327172E-2</v>
      </c>
      <c r="I30" s="3">
        <v>9423</v>
      </c>
      <c r="J30" s="25">
        <f t="shared" si="5"/>
        <v>2.1999547075015117E-2</v>
      </c>
      <c r="K30" s="3">
        <v>2279</v>
      </c>
      <c r="L30" s="25">
        <f t="shared" si="6"/>
        <v>5.3207012399405125E-3</v>
      </c>
      <c r="M30" s="25">
        <v>1.7507651864113166E-2</v>
      </c>
      <c r="N30" s="25">
        <v>9.5394406609903178E-3</v>
      </c>
      <c r="O30" s="25">
        <v>6.6374522269200872E-3</v>
      </c>
      <c r="P30" s="25">
        <v>5.2996892561057319E-3</v>
      </c>
      <c r="Q30" s="3">
        <v>17</v>
      </c>
      <c r="R30" s="3" t="s">
        <v>34</v>
      </c>
      <c r="S30" s="3">
        <v>1</v>
      </c>
      <c r="T30" s="3">
        <v>97</v>
      </c>
      <c r="U30" s="3">
        <v>0</v>
      </c>
      <c r="V30" s="3">
        <v>2150</v>
      </c>
      <c r="W30" s="22">
        <v>493.49</v>
      </c>
      <c r="X30" s="22">
        <v>493.5</v>
      </c>
      <c r="Y30" s="22">
        <f t="shared" si="7"/>
        <v>-9.9999999999909051E-3</v>
      </c>
      <c r="Z30" s="10">
        <v>4</v>
      </c>
      <c r="AA30" s="2"/>
      <c r="AB30" s="2"/>
      <c r="AC30" s="2"/>
      <c r="AD30" s="2"/>
      <c r="AE30" s="2"/>
      <c r="AF30" s="2"/>
      <c r="AG30" s="2"/>
      <c r="AH30" s="2"/>
      <c r="AI30" s="2"/>
    </row>
    <row r="31" spans="2:35" ht="15.75" customHeight="1" x14ac:dyDescent="0.2">
      <c r="B31" s="359"/>
      <c r="C31" s="68" t="s">
        <v>239</v>
      </c>
      <c r="D31" s="12" t="str">
        <f>HYPERLINK("https://www.facebook.com/ZespriTH/posts/841155442739594/","12 Jun")</f>
        <v>12 Jun</v>
      </c>
      <c r="E31" s="3">
        <v>764</v>
      </c>
      <c r="F31" s="3">
        <v>398464</v>
      </c>
      <c r="G31" s="94">
        <v>530700</v>
      </c>
      <c r="H31" s="27">
        <f>E31/G31</f>
        <v>1.4396080648200491E-3</v>
      </c>
      <c r="I31" s="3" t="s">
        <v>34</v>
      </c>
      <c r="J31" s="3" t="s">
        <v>34</v>
      </c>
      <c r="K31" s="3" t="s">
        <v>34</v>
      </c>
      <c r="L31" s="3" t="s">
        <v>34</v>
      </c>
      <c r="M31" s="3" t="s">
        <v>34</v>
      </c>
      <c r="N31" s="3" t="s">
        <v>34</v>
      </c>
      <c r="O31" s="3" t="s">
        <v>34</v>
      </c>
      <c r="P31" s="3" t="s">
        <v>34</v>
      </c>
      <c r="Q31" s="3">
        <v>13</v>
      </c>
      <c r="R31" s="3">
        <v>507</v>
      </c>
      <c r="S31" s="3">
        <v>0</v>
      </c>
      <c r="T31" s="3">
        <v>256</v>
      </c>
      <c r="U31" s="3">
        <v>1</v>
      </c>
      <c r="V31" s="3">
        <v>1159</v>
      </c>
      <c r="W31" s="22">
        <v>493.49</v>
      </c>
      <c r="X31" s="22">
        <v>493.5</v>
      </c>
      <c r="Y31" s="22">
        <f t="shared" si="7"/>
        <v>-9.9999999999909051E-3</v>
      </c>
      <c r="Z31" s="10">
        <v>6</v>
      </c>
      <c r="AA31" s="2"/>
      <c r="AB31" s="2"/>
      <c r="AC31" s="2"/>
      <c r="AD31" s="2"/>
      <c r="AE31" s="2"/>
      <c r="AF31" s="2"/>
      <c r="AG31" s="2"/>
      <c r="AH31" s="2"/>
      <c r="AI31" s="2"/>
    </row>
    <row r="32" spans="2:35" ht="15.75" customHeight="1" x14ac:dyDescent="0.2">
      <c r="B32" s="359"/>
      <c r="C32" s="68" t="s">
        <v>92</v>
      </c>
      <c r="D32" s="12" t="str">
        <f>HYPERLINK("https://www.facebook.com/129925023862643/posts/869300119925126/","22 Jun")</f>
        <v>22 Jun</v>
      </c>
      <c r="E32" s="3">
        <v>560</v>
      </c>
      <c r="F32" s="3">
        <v>265664</v>
      </c>
      <c r="G32" s="94">
        <v>384737</v>
      </c>
      <c r="H32" s="27">
        <f t="shared" ref="H32:H57" si="8">E32/G32</f>
        <v>1.4555397583284166E-3</v>
      </c>
      <c r="I32" s="3" t="s">
        <v>34</v>
      </c>
      <c r="J32" s="3" t="s">
        <v>34</v>
      </c>
      <c r="K32" s="3" t="s">
        <v>34</v>
      </c>
      <c r="L32" s="3" t="s">
        <v>34</v>
      </c>
      <c r="M32" s="3" t="s">
        <v>34</v>
      </c>
      <c r="N32" s="3" t="s">
        <v>34</v>
      </c>
      <c r="O32" s="3" t="s">
        <v>34</v>
      </c>
      <c r="P32" s="3" t="s">
        <v>34</v>
      </c>
      <c r="Q32" s="3">
        <v>14</v>
      </c>
      <c r="R32" s="3">
        <v>451</v>
      </c>
      <c r="S32" s="3">
        <v>2</v>
      </c>
      <c r="T32" s="3">
        <v>98</v>
      </c>
      <c r="U32" s="3">
        <v>0</v>
      </c>
      <c r="V32" s="3">
        <v>895</v>
      </c>
      <c r="W32" s="22">
        <v>493.49</v>
      </c>
      <c r="X32" s="22">
        <v>493.5</v>
      </c>
      <c r="Y32" s="22">
        <f t="shared" si="7"/>
        <v>-9.9999999999909051E-3</v>
      </c>
      <c r="Z32" s="10">
        <v>6</v>
      </c>
      <c r="AA32" s="2"/>
      <c r="AB32" s="2"/>
      <c r="AC32" s="2"/>
      <c r="AD32" s="2"/>
      <c r="AE32" s="2"/>
      <c r="AF32" s="2"/>
      <c r="AG32" s="2"/>
      <c r="AH32" s="2"/>
      <c r="AI32" s="2"/>
    </row>
    <row r="33" spans="2:35" ht="15.75" customHeight="1" x14ac:dyDescent="0.2">
      <c r="B33" s="359"/>
      <c r="C33" s="68" t="s">
        <v>240</v>
      </c>
      <c r="D33" s="12" t="str">
        <f>HYPERLINK("https://www.facebook.com/ZespriTH/posts/841155896072882/","25 Jun")</f>
        <v>25 Jun</v>
      </c>
      <c r="E33" s="3">
        <v>320</v>
      </c>
      <c r="F33" s="3">
        <v>333312</v>
      </c>
      <c r="G33" s="94">
        <v>493497</v>
      </c>
      <c r="H33" s="27">
        <f t="shared" si="8"/>
        <v>6.4843352644494289E-4</v>
      </c>
      <c r="I33" s="3" t="s">
        <v>34</v>
      </c>
      <c r="J33" s="3" t="s">
        <v>34</v>
      </c>
      <c r="K33" s="3" t="s">
        <v>34</v>
      </c>
      <c r="L33" s="3" t="s">
        <v>34</v>
      </c>
      <c r="M33" s="3" t="s">
        <v>34</v>
      </c>
      <c r="N33" s="3" t="s">
        <v>34</v>
      </c>
      <c r="O33" s="3" t="s">
        <v>34</v>
      </c>
      <c r="P33" s="3" t="s">
        <v>34</v>
      </c>
      <c r="Q33" s="3">
        <v>8</v>
      </c>
      <c r="R33" s="3">
        <v>264</v>
      </c>
      <c r="S33" s="3">
        <v>0</v>
      </c>
      <c r="T33" s="3">
        <v>55</v>
      </c>
      <c r="U33" s="3">
        <v>1</v>
      </c>
      <c r="V33" s="3">
        <v>526</v>
      </c>
      <c r="W33" s="22">
        <v>493.49</v>
      </c>
      <c r="X33" s="22">
        <v>493.5</v>
      </c>
      <c r="Y33" s="22">
        <f t="shared" si="7"/>
        <v>-9.9999999999909051E-3</v>
      </c>
      <c r="Z33" s="10">
        <v>6</v>
      </c>
      <c r="AA33" s="2"/>
      <c r="AB33" s="2"/>
      <c r="AC33" s="2"/>
      <c r="AD33" s="2"/>
      <c r="AE33" s="2"/>
      <c r="AF33" s="2"/>
      <c r="AG33" s="2"/>
      <c r="AH33" s="2"/>
      <c r="AI33" s="2"/>
    </row>
    <row r="34" spans="2:35" ht="15" customHeight="1" x14ac:dyDescent="0.2">
      <c r="B34" s="359"/>
      <c r="C34" s="68" t="s">
        <v>95</v>
      </c>
      <c r="D34" s="12" t="str">
        <f>HYPERLINK("https://www.facebook.com/129925023862643/posts/881282652060206/","3 Jul")</f>
        <v>3 Jul</v>
      </c>
      <c r="E34" s="3">
        <v>569</v>
      </c>
      <c r="F34" s="3">
        <v>334912</v>
      </c>
      <c r="G34" s="94">
        <v>501800</v>
      </c>
      <c r="H34" s="27">
        <f t="shared" si="8"/>
        <v>1.1339178955759267E-3</v>
      </c>
      <c r="I34" s="3" t="s">
        <v>34</v>
      </c>
      <c r="J34" s="3" t="s">
        <v>34</v>
      </c>
      <c r="K34" s="3" t="s">
        <v>34</v>
      </c>
      <c r="L34" s="3" t="s">
        <v>34</v>
      </c>
      <c r="M34" s="3" t="s">
        <v>34</v>
      </c>
      <c r="N34" s="3" t="s">
        <v>34</v>
      </c>
      <c r="O34" s="3" t="s">
        <v>34</v>
      </c>
      <c r="P34" s="3" t="s">
        <v>34</v>
      </c>
      <c r="Q34" s="3">
        <v>15</v>
      </c>
      <c r="R34" s="3">
        <v>483</v>
      </c>
      <c r="S34" s="3">
        <v>0</v>
      </c>
      <c r="T34" s="3">
        <v>85</v>
      </c>
      <c r="U34" s="3">
        <v>1</v>
      </c>
      <c r="V34" s="3">
        <v>993</v>
      </c>
      <c r="W34" s="22">
        <v>493.49</v>
      </c>
      <c r="X34" s="22">
        <v>493.5</v>
      </c>
      <c r="Y34" s="22">
        <f t="shared" si="7"/>
        <v>-9.9999999999909051E-3</v>
      </c>
      <c r="Z34" s="10">
        <v>4</v>
      </c>
      <c r="AA34" s="2"/>
      <c r="AB34" s="2"/>
      <c r="AC34" s="2"/>
      <c r="AD34" s="2"/>
      <c r="AE34" s="2"/>
      <c r="AF34" s="2"/>
      <c r="AG34" s="2"/>
      <c r="AH34" s="2"/>
      <c r="AI34" s="2"/>
    </row>
    <row r="35" spans="2:35" ht="15" customHeight="1" x14ac:dyDescent="0.2">
      <c r="B35" s="359"/>
      <c r="C35" s="68" t="s">
        <v>241</v>
      </c>
      <c r="D35" s="12" t="str">
        <f>HYPERLINK("https://www.facebook.com/129925023862643/posts/884264968428641/","7 Jul")</f>
        <v>7 Jul</v>
      </c>
      <c r="E35" s="3">
        <v>565</v>
      </c>
      <c r="F35" s="3">
        <v>339587</v>
      </c>
      <c r="G35" s="94">
        <v>448886</v>
      </c>
      <c r="H35" s="27">
        <f t="shared" si="8"/>
        <v>1.258671466697558E-3</v>
      </c>
      <c r="I35" s="3" t="s">
        <v>34</v>
      </c>
      <c r="J35" s="3" t="s">
        <v>34</v>
      </c>
      <c r="K35" s="3" t="s">
        <v>34</v>
      </c>
      <c r="L35" s="3" t="s">
        <v>34</v>
      </c>
      <c r="M35" s="3" t="s">
        <v>34</v>
      </c>
      <c r="N35" s="3" t="s">
        <v>34</v>
      </c>
      <c r="O35" s="3" t="s">
        <v>34</v>
      </c>
      <c r="P35" s="3" t="s">
        <v>34</v>
      </c>
      <c r="Q35" s="3">
        <v>16</v>
      </c>
      <c r="R35" s="3">
        <v>480</v>
      </c>
      <c r="S35" s="3">
        <v>1</v>
      </c>
      <c r="T35" s="3">
        <v>84</v>
      </c>
      <c r="U35" s="3">
        <v>0</v>
      </c>
      <c r="V35" s="3">
        <v>985</v>
      </c>
      <c r="W35" s="22">
        <v>493.49</v>
      </c>
      <c r="X35" s="22">
        <v>493.5</v>
      </c>
      <c r="Y35" s="22">
        <f t="shared" si="7"/>
        <v>-9.9999999999909051E-3</v>
      </c>
      <c r="Z35" s="10">
        <v>4</v>
      </c>
      <c r="AA35" s="2"/>
      <c r="AB35" s="2"/>
      <c r="AC35" s="2"/>
      <c r="AD35" s="2"/>
      <c r="AE35" s="2"/>
      <c r="AF35" s="2"/>
      <c r="AG35" s="2"/>
      <c r="AH35" s="2"/>
      <c r="AI35" s="2"/>
    </row>
    <row r="36" spans="2:35" ht="15" customHeight="1" x14ac:dyDescent="0.2">
      <c r="B36" s="359"/>
      <c r="C36" s="68" t="s">
        <v>172</v>
      </c>
      <c r="D36" s="12" t="str">
        <f>HYPERLINK("https://www.facebook.com/129925023862643/posts/876265869228551/","12 Jul")</f>
        <v>12 Jul</v>
      </c>
      <c r="E36" s="3">
        <v>846</v>
      </c>
      <c r="F36" s="3">
        <v>338624</v>
      </c>
      <c r="G36" s="94">
        <v>493468</v>
      </c>
      <c r="H36" s="27">
        <f t="shared" si="8"/>
        <v>1.7143968808514432E-3</v>
      </c>
      <c r="I36" s="3" t="s">
        <v>34</v>
      </c>
      <c r="J36" s="3" t="s">
        <v>34</v>
      </c>
      <c r="K36" s="3" t="s">
        <v>34</v>
      </c>
      <c r="L36" s="3" t="s">
        <v>34</v>
      </c>
      <c r="M36" s="3" t="s">
        <v>34</v>
      </c>
      <c r="N36" s="3" t="s">
        <v>34</v>
      </c>
      <c r="O36" s="3" t="s">
        <v>34</v>
      </c>
      <c r="P36" s="3" t="s">
        <v>34</v>
      </c>
      <c r="Q36" s="3">
        <v>16</v>
      </c>
      <c r="R36" s="3">
        <v>559</v>
      </c>
      <c r="S36" s="3">
        <v>0</v>
      </c>
      <c r="T36" s="3">
        <v>284</v>
      </c>
      <c r="U36" s="3">
        <v>3</v>
      </c>
      <c r="V36" s="3">
        <v>1283</v>
      </c>
      <c r="W36" s="22">
        <v>493.49</v>
      </c>
      <c r="X36" s="22">
        <v>493.5</v>
      </c>
      <c r="Y36" s="22">
        <f t="shared" si="7"/>
        <v>-9.9999999999909051E-3</v>
      </c>
      <c r="Z36" s="10">
        <v>7</v>
      </c>
      <c r="AA36" s="2"/>
      <c r="AB36" s="2"/>
      <c r="AC36" s="2"/>
      <c r="AD36" s="2"/>
      <c r="AE36" s="2"/>
      <c r="AF36" s="2"/>
      <c r="AG36" s="2"/>
      <c r="AH36" s="2"/>
      <c r="AI36" s="2"/>
    </row>
    <row r="37" spans="2:35" ht="15" customHeight="1" x14ac:dyDescent="0.2">
      <c r="B37" s="359"/>
      <c r="C37" s="68" t="s">
        <v>97</v>
      </c>
      <c r="D37" s="12" t="str">
        <f>HYPERLINK("https://www.facebook.com/129925023862643/posts/892014764320328/","13 Jul")</f>
        <v>13 Jul</v>
      </c>
      <c r="E37" s="3">
        <v>419</v>
      </c>
      <c r="F37" s="3">
        <v>405376</v>
      </c>
      <c r="G37" s="94">
        <v>535484</v>
      </c>
      <c r="H37" s="27">
        <f t="shared" si="8"/>
        <v>7.8246969097115881E-4</v>
      </c>
      <c r="I37" s="3" t="s">
        <v>34</v>
      </c>
      <c r="J37" s="3" t="s">
        <v>34</v>
      </c>
      <c r="K37" s="3" t="s">
        <v>34</v>
      </c>
      <c r="L37" s="3" t="s">
        <v>34</v>
      </c>
      <c r="M37" s="3" t="s">
        <v>34</v>
      </c>
      <c r="N37" s="3" t="s">
        <v>34</v>
      </c>
      <c r="O37" s="3" t="s">
        <v>34</v>
      </c>
      <c r="P37" s="3" t="s">
        <v>34</v>
      </c>
      <c r="Q37" s="3">
        <v>15</v>
      </c>
      <c r="R37" s="3">
        <v>326</v>
      </c>
      <c r="S37" s="3">
        <v>0</v>
      </c>
      <c r="T37" s="3">
        <v>92</v>
      </c>
      <c r="U37" s="3">
        <v>1</v>
      </c>
      <c r="V37" s="3">
        <v>849</v>
      </c>
      <c r="W37" s="22">
        <v>493.49</v>
      </c>
      <c r="X37" s="22">
        <v>493.5</v>
      </c>
      <c r="Y37" s="22">
        <f t="shared" si="7"/>
        <v>-9.9999999999909051E-3</v>
      </c>
      <c r="Z37" s="10">
        <v>7</v>
      </c>
      <c r="AA37" s="2"/>
      <c r="AB37" s="2"/>
      <c r="AC37" s="2"/>
      <c r="AD37" s="2"/>
      <c r="AE37" s="2"/>
      <c r="AF37" s="2"/>
      <c r="AG37" s="2"/>
      <c r="AH37" s="2"/>
      <c r="AI37" s="2"/>
    </row>
    <row r="38" spans="2:35" ht="15" customHeight="1" x14ac:dyDescent="0.2">
      <c r="B38" s="359"/>
      <c r="C38" s="68" t="s">
        <v>242</v>
      </c>
      <c r="D38" s="12" t="str">
        <f>HYPERLINK("https://www.facebook.com/ZespriTH/videos/876266185895186/","18 Jul")</f>
        <v>18 Jul</v>
      </c>
      <c r="E38" s="3">
        <v>8902</v>
      </c>
      <c r="F38" s="3">
        <v>302911</v>
      </c>
      <c r="G38" s="94">
        <v>449443</v>
      </c>
      <c r="H38" s="29">
        <f t="shared" si="8"/>
        <v>1.9806738563065838E-2</v>
      </c>
      <c r="I38" s="3">
        <v>8838</v>
      </c>
      <c r="J38" s="25">
        <f t="shared" ref="J38" si="9">I38/G38</f>
        <v>1.9664340083169612E-2</v>
      </c>
      <c r="K38" s="3">
        <v>3013</v>
      </c>
      <c r="L38" s="25">
        <f>K38/G38</f>
        <v>6.7038534363645669E-3</v>
      </c>
      <c r="M38" s="25">
        <v>2.1909341117783566E-2</v>
      </c>
      <c r="N38" s="25">
        <v>1.1505352180365474E-2</v>
      </c>
      <c r="O38" s="25">
        <v>8.2947114539552291E-3</v>
      </c>
      <c r="P38" s="25">
        <v>6.4502061440494122E-3</v>
      </c>
      <c r="Q38" s="3">
        <v>8</v>
      </c>
      <c r="R38" s="3" t="s">
        <v>34</v>
      </c>
      <c r="S38" s="3">
        <v>0</v>
      </c>
      <c r="T38" s="3">
        <v>62</v>
      </c>
      <c r="U38" s="3">
        <v>2</v>
      </c>
      <c r="V38" s="3">
        <v>1189</v>
      </c>
      <c r="W38" s="22">
        <v>493.49</v>
      </c>
      <c r="X38" s="22">
        <v>493.5</v>
      </c>
      <c r="Y38" s="22">
        <f t="shared" si="7"/>
        <v>-9.9999999999909051E-3</v>
      </c>
      <c r="Z38" s="10">
        <v>5</v>
      </c>
      <c r="AA38" s="2"/>
      <c r="AB38" s="2"/>
      <c r="AC38" s="2"/>
      <c r="AD38" s="2"/>
      <c r="AE38" s="2"/>
      <c r="AF38" s="2"/>
      <c r="AG38" s="2"/>
      <c r="AH38" s="2"/>
      <c r="AI38" s="2"/>
    </row>
    <row r="39" spans="2:35" ht="15" customHeight="1" x14ac:dyDescent="0.2">
      <c r="B39" s="359"/>
      <c r="C39" s="68" t="s">
        <v>139</v>
      </c>
      <c r="D39" s="12" t="str">
        <f>HYPERLINK("https://www.facebook.com/129925023862643/posts/876266995895105/","20 Jul")</f>
        <v>20 Jul</v>
      </c>
      <c r="E39" s="3">
        <v>301</v>
      </c>
      <c r="F39" s="3">
        <v>372480</v>
      </c>
      <c r="G39" s="94">
        <v>509750</v>
      </c>
      <c r="H39" s="27">
        <f t="shared" si="8"/>
        <v>5.9048553212358995E-4</v>
      </c>
      <c r="I39" s="3" t="s">
        <v>34</v>
      </c>
      <c r="J39" s="3" t="s">
        <v>34</v>
      </c>
      <c r="K39" s="3" t="s">
        <v>34</v>
      </c>
      <c r="L39" s="3" t="s">
        <v>34</v>
      </c>
      <c r="M39" s="3" t="s">
        <v>34</v>
      </c>
      <c r="N39" s="3" t="s">
        <v>34</v>
      </c>
      <c r="O39" s="3" t="s">
        <v>34</v>
      </c>
      <c r="P39" s="3" t="s">
        <v>34</v>
      </c>
      <c r="Q39" s="3">
        <v>9</v>
      </c>
      <c r="R39" s="3">
        <v>250</v>
      </c>
      <c r="S39" s="3">
        <v>0</v>
      </c>
      <c r="T39" s="3">
        <v>50</v>
      </c>
      <c r="U39" s="3">
        <v>1</v>
      </c>
      <c r="V39" s="3">
        <v>511</v>
      </c>
      <c r="W39" s="22">
        <v>493.49</v>
      </c>
      <c r="X39" s="22">
        <v>493.5</v>
      </c>
      <c r="Y39" s="22">
        <f t="shared" si="7"/>
        <v>-9.9999999999909051E-3</v>
      </c>
      <c r="Z39" s="10">
        <v>5</v>
      </c>
      <c r="AA39" s="2"/>
      <c r="AB39" s="2"/>
      <c r="AC39" s="2"/>
      <c r="AD39" s="2"/>
      <c r="AE39" s="2"/>
      <c r="AF39" s="2"/>
      <c r="AG39" s="2"/>
      <c r="AH39" s="2"/>
      <c r="AI39" s="2"/>
    </row>
    <row r="40" spans="2:35" ht="15" customHeight="1" x14ac:dyDescent="0.2">
      <c r="B40" s="359"/>
      <c r="C40" s="68" t="s">
        <v>243</v>
      </c>
      <c r="D40" s="12" t="str">
        <f>HYPERLINK("https://www.facebook.com/129925023862643/posts/903181603203644/","24 Jul")</f>
        <v>24 Jul</v>
      </c>
      <c r="E40" s="3">
        <v>424</v>
      </c>
      <c r="F40" s="3">
        <v>393536</v>
      </c>
      <c r="G40" s="94">
        <v>523373</v>
      </c>
      <c r="H40" s="27">
        <f t="shared" si="8"/>
        <v>8.1012967806898717E-4</v>
      </c>
      <c r="I40" s="3" t="s">
        <v>34</v>
      </c>
      <c r="J40" s="3" t="s">
        <v>34</v>
      </c>
      <c r="K40" s="3" t="s">
        <v>34</v>
      </c>
      <c r="L40" s="3" t="s">
        <v>34</v>
      </c>
      <c r="M40" s="3" t="s">
        <v>34</v>
      </c>
      <c r="N40" s="3" t="s">
        <v>34</v>
      </c>
      <c r="O40" s="3" t="s">
        <v>34</v>
      </c>
      <c r="P40" s="3" t="s">
        <v>34</v>
      </c>
      <c r="Q40" s="3">
        <v>10</v>
      </c>
      <c r="R40" s="3">
        <v>355</v>
      </c>
      <c r="S40" s="3">
        <v>0</v>
      </c>
      <c r="T40" s="3">
        <v>69</v>
      </c>
      <c r="U40" s="3">
        <v>0</v>
      </c>
      <c r="V40" s="3">
        <v>766</v>
      </c>
      <c r="W40" s="22">
        <v>493.49</v>
      </c>
      <c r="X40" s="22">
        <v>493.5</v>
      </c>
      <c r="Y40" s="22">
        <f t="shared" si="7"/>
        <v>-9.9999999999909051E-3</v>
      </c>
      <c r="Z40" s="10">
        <v>5</v>
      </c>
      <c r="AA40" s="2"/>
      <c r="AB40" s="2"/>
      <c r="AC40" s="2"/>
      <c r="AD40" s="2"/>
      <c r="AE40" s="2"/>
      <c r="AF40" s="2"/>
      <c r="AG40" s="2"/>
      <c r="AH40" s="2"/>
      <c r="AI40" s="2"/>
    </row>
    <row r="41" spans="2:35" ht="15" customHeight="1" x14ac:dyDescent="0.2">
      <c r="B41" s="359"/>
      <c r="C41" s="68" t="s">
        <v>244</v>
      </c>
      <c r="D41" s="12" t="str">
        <f>HYPERLINK("https://www.facebook.com/ZespriTH/videos/912805802241224/","3 Aug")</f>
        <v>3 Aug</v>
      </c>
      <c r="E41" s="3">
        <v>20111</v>
      </c>
      <c r="F41" s="3">
        <v>303488</v>
      </c>
      <c r="G41" s="94">
        <v>412214</v>
      </c>
      <c r="H41" s="29">
        <f t="shared" si="8"/>
        <v>4.8787765578073523E-2</v>
      </c>
      <c r="I41" s="3">
        <v>19979</v>
      </c>
      <c r="J41" s="25">
        <f t="shared" ref="J41:J46" si="10">I41/G41</f>
        <v>4.8467543557472577E-2</v>
      </c>
      <c r="K41" s="3">
        <v>8655</v>
      </c>
      <c r="L41" s="25">
        <f>K41/G41</f>
        <v>2.0996375668948655E-2</v>
      </c>
      <c r="M41" s="25">
        <v>9.3087571018936763E-2</v>
      </c>
      <c r="N41" s="25">
        <v>4.4615175612667209E-2</v>
      </c>
      <c r="O41" s="25">
        <v>2.6993260782020988E-2</v>
      </c>
      <c r="P41" s="25">
        <v>1.9742172754928265E-2</v>
      </c>
      <c r="Q41" s="3">
        <v>17</v>
      </c>
      <c r="R41" s="3" t="s">
        <v>34</v>
      </c>
      <c r="S41" s="3">
        <v>1</v>
      </c>
      <c r="T41" s="3">
        <v>130</v>
      </c>
      <c r="U41" s="3">
        <v>1</v>
      </c>
      <c r="V41" s="3">
        <v>1710</v>
      </c>
      <c r="W41" s="22">
        <v>493.49</v>
      </c>
      <c r="X41" s="22">
        <v>493.5</v>
      </c>
      <c r="Y41" s="22">
        <f t="shared" si="7"/>
        <v>-9.9999999999909051E-3</v>
      </c>
      <c r="Z41" s="10">
        <v>4</v>
      </c>
      <c r="AA41" s="2"/>
      <c r="AB41" s="2"/>
      <c r="AC41" s="2"/>
      <c r="AD41" s="2"/>
      <c r="AE41" s="2"/>
      <c r="AF41" s="2"/>
      <c r="AG41" s="2"/>
      <c r="AH41" s="2"/>
      <c r="AI41" s="2"/>
    </row>
    <row r="42" spans="2:35" ht="15" customHeight="1" x14ac:dyDescent="0.2">
      <c r="B42" s="359"/>
      <c r="C42" s="68" t="s">
        <v>245</v>
      </c>
      <c r="D42" s="12" t="str">
        <f>HYPERLINK("https://www.facebook.com/129925023862643/posts/903081089880362/","12 Aug")</f>
        <v>12 Aug</v>
      </c>
      <c r="E42" s="3">
        <v>717</v>
      </c>
      <c r="F42" s="3">
        <v>388352</v>
      </c>
      <c r="G42" s="94">
        <v>495307</v>
      </c>
      <c r="H42" s="27">
        <f t="shared" si="8"/>
        <v>1.4475870520707359E-3</v>
      </c>
      <c r="I42" s="3" t="s">
        <v>34</v>
      </c>
      <c r="J42" s="3" t="s">
        <v>34</v>
      </c>
      <c r="K42" s="3" t="s">
        <v>34</v>
      </c>
      <c r="L42" s="3" t="s">
        <v>34</v>
      </c>
      <c r="M42" s="3" t="s">
        <v>34</v>
      </c>
      <c r="N42" s="3" t="s">
        <v>34</v>
      </c>
      <c r="O42" s="3" t="s">
        <v>34</v>
      </c>
      <c r="P42" s="3" t="s">
        <v>34</v>
      </c>
      <c r="Q42" s="3">
        <v>14</v>
      </c>
      <c r="R42" s="3">
        <v>317</v>
      </c>
      <c r="S42" s="3">
        <v>1</v>
      </c>
      <c r="T42" s="3">
        <v>10</v>
      </c>
      <c r="U42" s="3">
        <v>389</v>
      </c>
      <c r="V42" s="3">
        <v>1038</v>
      </c>
      <c r="W42" s="22">
        <v>493.49</v>
      </c>
      <c r="X42" s="22">
        <v>493.5</v>
      </c>
      <c r="Y42" s="22">
        <f t="shared" si="7"/>
        <v>-9.9999999999909051E-3</v>
      </c>
      <c r="Z42" s="10">
        <v>6</v>
      </c>
      <c r="AA42" s="2"/>
      <c r="AB42" s="2"/>
      <c r="AC42" s="2"/>
      <c r="AD42" s="2"/>
      <c r="AE42" s="2"/>
      <c r="AF42" s="2"/>
      <c r="AG42" s="2"/>
      <c r="AH42" s="2"/>
      <c r="AI42" s="2"/>
    </row>
    <row r="43" spans="2:35" ht="15" customHeight="1" x14ac:dyDescent="0.2">
      <c r="B43" s="359"/>
      <c r="C43" s="68" t="s">
        <v>246</v>
      </c>
      <c r="D43" s="142" t="str">
        <f>HYPERLINK("https://www.facebook.com/ZespriTH/videos/884112215110583/","21 Aug")</f>
        <v>21 Aug</v>
      </c>
      <c r="E43" s="3">
        <v>7557</v>
      </c>
      <c r="F43" s="3">
        <v>260481</v>
      </c>
      <c r="G43" s="94">
        <v>362122</v>
      </c>
      <c r="H43" s="27">
        <f t="shared" si="8"/>
        <v>2.086865752425978E-2</v>
      </c>
      <c r="I43" s="3">
        <v>7466</v>
      </c>
      <c r="J43" s="25">
        <f t="shared" si="10"/>
        <v>2.0617360999884017E-2</v>
      </c>
      <c r="K43" s="177">
        <v>4386</v>
      </c>
      <c r="L43" s="25">
        <f>K43/G43</f>
        <v>1.2111940174858197E-2</v>
      </c>
      <c r="M43" s="178">
        <v>5.3164403156947107E-2</v>
      </c>
      <c r="N43" s="178">
        <v>2.4983292923379415E-2</v>
      </c>
      <c r="O43" s="178">
        <v>1.6776114127283071E-2</v>
      </c>
      <c r="P43" s="178">
        <v>1.3125410773164845E-2</v>
      </c>
      <c r="Q43" s="3">
        <v>12</v>
      </c>
      <c r="R43" s="3" t="s">
        <v>34</v>
      </c>
      <c r="S43" s="3">
        <v>0</v>
      </c>
      <c r="T43" s="3">
        <v>91</v>
      </c>
      <c r="U43" s="3">
        <v>0</v>
      </c>
      <c r="V43" s="3">
        <v>1164</v>
      </c>
      <c r="W43" s="22">
        <v>493.49</v>
      </c>
      <c r="X43" s="22">
        <v>493.5</v>
      </c>
      <c r="Y43" s="22">
        <f t="shared" si="7"/>
        <v>-9.9999999999909051E-3</v>
      </c>
      <c r="Z43" s="10">
        <v>4</v>
      </c>
      <c r="AA43" s="2"/>
      <c r="AB43" s="2"/>
      <c r="AC43" s="2"/>
      <c r="AD43" s="2"/>
      <c r="AE43" s="2"/>
      <c r="AF43" s="2"/>
      <c r="AG43" s="2"/>
      <c r="AH43" s="2"/>
      <c r="AI43" s="2"/>
    </row>
    <row r="44" spans="2:35" ht="15" customHeight="1" x14ac:dyDescent="0.2">
      <c r="B44" s="359"/>
      <c r="C44" s="68" t="s">
        <v>105</v>
      </c>
      <c r="D44" s="142" t="str">
        <f>HYPERLINK("https://www.facebook.com/ZespriTH/videos/243291676380903/","5 Sept")</f>
        <v>5 Sept</v>
      </c>
      <c r="E44" s="3">
        <v>16237</v>
      </c>
      <c r="F44" s="3">
        <v>262143</v>
      </c>
      <c r="G44" s="94">
        <v>378830</v>
      </c>
      <c r="H44" s="27">
        <f t="shared" si="8"/>
        <v>4.286091386637806E-2</v>
      </c>
      <c r="I44" s="3">
        <v>16067</v>
      </c>
      <c r="J44" s="25">
        <f t="shared" si="10"/>
        <v>4.2412163767389065E-2</v>
      </c>
      <c r="K44" s="3">
        <v>9203</v>
      </c>
      <c r="L44" s="25">
        <f>K44/G44</f>
        <v>2.4293218594092336E-2</v>
      </c>
      <c r="M44" s="178">
        <v>0.12175646068157221</v>
      </c>
      <c r="N44" s="178">
        <v>5.3889607475648707E-2</v>
      </c>
      <c r="O44" s="178">
        <v>3.6340838898714464E-2</v>
      </c>
      <c r="P44" s="178">
        <v>2.592983660216984E-2</v>
      </c>
      <c r="Q44" s="3">
        <v>17</v>
      </c>
      <c r="R44" s="3" t="s">
        <v>34</v>
      </c>
      <c r="S44" s="3">
        <v>0</v>
      </c>
      <c r="T44" s="3">
        <v>167</v>
      </c>
      <c r="U44" s="3">
        <v>3</v>
      </c>
      <c r="V44" s="3">
        <v>2115</v>
      </c>
      <c r="W44" s="22">
        <v>493.49</v>
      </c>
      <c r="X44" s="22">
        <v>493.5</v>
      </c>
      <c r="Y44" s="22">
        <f t="shared" si="7"/>
        <v>-9.9999999999909051E-3</v>
      </c>
      <c r="Z44" s="10">
        <v>4</v>
      </c>
      <c r="AA44" s="2"/>
      <c r="AB44" s="2"/>
      <c r="AC44" s="2"/>
      <c r="AD44" s="2"/>
      <c r="AE44" s="2"/>
      <c r="AF44" s="2"/>
      <c r="AG44" s="2"/>
      <c r="AH44" s="2"/>
      <c r="AI44" s="2"/>
    </row>
    <row r="45" spans="2:35" ht="15" customHeight="1" x14ac:dyDescent="0.2">
      <c r="B45" s="359"/>
      <c r="C45" s="68" t="s">
        <v>247</v>
      </c>
      <c r="D45" s="142" t="str">
        <f>HYPERLINK("https://www.facebook.com/129925023862643/posts/960073620847775/","13 Oct")</f>
        <v>13 Oct</v>
      </c>
      <c r="E45" s="3">
        <v>3406</v>
      </c>
      <c r="F45" s="3">
        <v>380544</v>
      </c>
      <c r="G45" s="94">
        <v>579892</v>
      </c>
      <c r="H45" s="27">
        <f t="shared" si="8"/>
        <v>5.8735074807033036E-3</v>
      </c>
      <c r="I45" s="3" t="s">
        <v>34</v>
      </c>
      <c r="J45" s="3" t="s">
        <v>34</v>
      </c>
      <c r="K45" s="3" t="s">
        <v>34</v>
      </c>
      <c r="L45" s="3" t="s">
        <v>34</v>
      </c>
      <c r="M45" s="3" t="s">
        <v>34</v>
      </c>
      <c r="N45" s="3" t="s">
        <v>34</v>
      </c>
      <c r="O45" s="3" t="s">
        <v>34</v>
      </c>
      <c r="P45" s="3" t="s">
        <v>34</v>
      </c>
      <c r="Q45" s="3">
        <v>2</v>
      </c>
      <c r="R45" s="3">
        <v>1057</v>
      </c>
      <c r="S45" s="3">
        <v>1</v>
      </c>
      <c r="T45" s="3">
        <v>2253</v>
      </c>
      <c r="U45" s="3">
        <v>95</v>
      </c>
      <c r="V45" s="3">
        <v>4174</v>
      </c>
      <c r="W45" s="22">
        <v>493.49</v>
      </c>
      <c r="X45" s="22">
        <v>493.48237499999999</v>
      </c>
      <c r="Y45" s="22">
        <f t="shared" si="7"/>
        <v>7.6250000000186446E-3</v>
      </c>
      <c r="Z45" s="10">
        <v>5</v>
      </c>
      <c r="AA45" s="2"/>
      <c r="AB45" s="2"/>
      <c r="AC45" s="2"/>
      <c r="AD45" s="2"/>
      <c r="AE45" s="2"/>
      <c r="AF45" s="2"/>
      <c r="AG45" s="2"/>
      <c r="AH45" s="2"/>
      <c r="AI45" s="2"/>
    </row>
    <row r="46" spans="2:35" ht="15" customHeight="1" x14ac:dyDescent="0.2">
      <c r="B46" s="359"/>
      <c r="C46" s="68" t="s">
        <v>248</v>
      </c>
      <c r="D46" s="142" t="str">
        <f>HYPERLINK("https://www.facebook.com/129925023862643/posts/966549603533510/","25 Oct")</f>
        <v>25 Oct</v>
      </c>
      <c r="E46" s="3">
        <v>13477</v>
      </c>
      <c r="F46" s="3">
        <v>269054</v>
      </c>
      <c r="G46" s="94">
        <v>588697</v>
      </c>
      <c r="H46" s="27">
        <f t="shared" si="8"/>
        <v>2.2892931338192653E-2</v>
      </c>
      <c r="I46" s="3">
        <v>13328</v>
      </c>
      <c r="J46" s="25">
        <f t="shared" si="10"/>
        <v>2.2639829997435013E-2</v>
      </c>
      <c r="K46" s="3">
        <v>2013</v>
      </c>
      <c r="L46" s="27">
        <f>K46/G46</f>
        <v>3.4194161003028721E-3</v>
      </c>
      <c r="M46" s="182">
        <v>5.6548614992092709E-3</v>
      </c>
      <c r="N46" s="182">
        <v>2.5632880751897836E-3</v>
      </c>
      <c r="O46" s="182">
        <v>1.4761413766334803E-3</v>
      </c>
      <c r="P46" s="182">
        <v>7.5250935540694113E-4</v>
      </c>
      <c r="Q46" s="3">
        <v>0</v>
      </c>
      <c r="R46" s="3" t="s">
        <v>34</v>
      </c>
      <c r="S46" s="3">
        <v>0</v>
      </c>
      <c r="T46" s="3">
        <v>137</v>
      </c>
      <c r="U46" s="3">
        <v>12</v>
      </c>
      <c r="V46" s="3">
        <v>6837</v>
      </c>
      <c r="W46" s="22">
        <v>493.49</v>
      </c>
      <c r="X46" s="22">
        <v>493.48237499999999</v>
      </c>
      <c r="Y46" s="22">
        <f t="shared" si="7"/>
        <v>7.6250000000186446E-3</v>
      </c>
      <c r="Z46" s="10">
        <v>4</v>
      </c>
      <c r="AA46" s="2"/>
      <c r="AB46" s="2"/>
      <c r="AC46" s="2"/>
      <c r="AD46" s="2"/>
      <c r="AE46" s="2"/>
      <c r="AF46" s="2"/>
      <c r="AG46" s="2"/>
      <c r="AH46" s="2"/>
      <c r="AI46" s="2"/>
    </row>
    <row r="47" spans="2:35" ht="15" customHeight="1" x14ac:dyDescent="0.2">
      <c r="B47" s="359"/>
      <c r="C47" s="68" t="s">
        <v>249</v>
      </c>
      <c r="D47" s="142" t="str">
        <f>HYPERLINK("https://www.facebook.com/129925023862643/posts/975452302643240/","14 Nov")</f>
        <v>14 Nov</v>
      </c>
      <c r="E47" s="3">
        <v>752</v>
      </c>
      <c r="F47" s="3">
        <v>397030</v>
      </c>
      <c r="G47" s="94">
        <v>523788</v>
      </c>
      <c r="H47" s="27">
        <f t="shared" si="8"/>
        <v>1.4356953576637875E-3</v>
      </c>
      <c r="I47" s="3" t="s">
        <v>34</v>
      </c>
      <c r="J47" s="3" t="s">
        <v>34</v>
      </c>
      <c r="K47" s="3" t="s">
        <v>34</v>
      </c>
      <c r="L47" s="3" t="s">
        <v>34</v>
      </c>
      <c r="M47" s="3" t="s">
        <v>34</v>
      </c>
      <c r="N47" s="3" t="s">
        <v>34</v>
      </c>
      <c r="O47" s="3" t="s">
        <v>34</v>
      </c>
      <c r="P47" s="3" t="s">
        <v>34</v>
      </c>
      <c r="Q47" s="3">
        <v>0</v>
      </c>
      <c r="R47" s="3">
        <v>611</v>
      </c>
      <c r="S47" s="3">
        <v>0</v>
      </c>
      <c r="T47" s="3">
        <v>140</v>
      </c>
      <c r="U47" s="3">
        <v>1</v>
      </c>
      <c r="V47" s="3">
        <v>1298</v>
      </c>
      <c r="W47" s="22">
        <v>493.49</v>
      </c>
      <c r="X47" s="22">
        <v>493.5</v>
      </c>
      <c r="Y47" s="22">
        <f t="shared" si="7"/>
        <v>-9.9999999999909051E-3</v>
      </c>
      <c r="Z47" s="10">
        <v>5</v>
      </c>
      <c r="AA47" s="2"/>
      <c r="AB47" s="2"/>
      <c r="AC47" s="2"/>
      <c r="AD47" s="2"/>
      <c r="AE47" s="2"/>
      <c r="AF47" s="2"/>
      <c r="AG47" s="2"/>
      <c r="AH47" s="2"/>
      <c r="AI47" s="2"/>
    </row>
    <row r="48" spans="2:35" ht="15" customHeight="1" x14ac:dyDescent="0.2">
      <c r="B48" s="359"/>
      <c r="C48" s="68" t="s">
        <v>250</v>
      </c>
      <c r="D48" s="142" t="str">
        <f>HYPERLINK("https://www.facebook.com/129925023862643/posts/979464262242044/
","19 Nov")</f>
        <v>19 Nov</v>
      </c>
      <c r="E48" s="3">
        <v>1167</v>
      </c>
      <c r="F48" s="3">
        <v>142693</v>
      </c>
      <c r="G48" s="94">
        <v>552416</v>
      </c>
      <c r="H48" s="27">
        <f t="shared" si="8"/>
        <v>2.1125383768753983E-3</v>
      </c>
      <c r="I48" s="3" t="s">
        <v>34</v>
      </c>
      <c r="J48" s="3" t="s">
        <v>34</v>
      </c>
      <c r="K48" s="3" t="s">
        <v>34</v>
      </c>
      <c r="L48" s="3" t="s">
        <v>34</v>
      </c>
      <c r="M48" s="3" t="s">
        <v>34</v>
      </c>
      <c r="N48" s="3" t="s">
        <v>34</v>
      </c>
      <c r="O48" s="3" t="s">
        <v>34</v>
      </c>
      <c r="P48" s="3" t="s">
        <v>34</v>
      </c>
      <c r="Q48" s="3">
        <v>0</v>
      </c>
      <c r="R48" s="3">
        <v>993</v>
      </c>
      <c r="S48" s="3">
        <v>0</v>
      </c>
      <c r="T48" s="3">
        <v>158</v>
      </c>
      <c r="U48" s="3">
        <v>4</v>
      </c>
      <c r="V48" s="3">
        <v>1623</v>
      </c>
      <c r="W48" s="22">
        <v>493.49</v>
      </c>
      <c r="X48" s="22">
        <f>350*1.41</f>
        <v>493.5</v>
      </c>
      <c r="Y48" s="22">
        <f t="shared" si="7"/>
        <v>-9.9999999999909051E-3</v>
      </c>
      <c r="Z48" s="10">
        <v>5</v>
      </c>
      <c r="AA48" s="2"/>
      <c r="AB48" s="2"/>
      <c r="AC48" s="2"/>
      <c r="AD48" s="2"/>
      <c r="AE48" s="2"/>
      <c r="AF48" s="2"/>
      <c r="AG48" s="2"/>
      <c r="AH48" s="2"/>
      <c r="AI48" s="2"/>
    </row>
    <row r="49" spans="2:35" ht="15" customHeight="1" x14ac:dyDescent="0.2">
      <c r="B49" s="359"/>
      <c r="C49" s="68" t="s">
        <v>251</v>
      </c>
      <c r="D49" s="142" t="str">
        <f>HYPERLINK("https://www.facebook.com/129925023862643/posts/982711248584012/","24 Nov")</f>
        <v>24 Nov</v>
      </c>
      <c r="E49" s="3">
        <v>19073</v>
      </c>
      <c r="F49" s="3">
        <v>355059</v>
      </c>
      <c r="G49" s="94">
        <v>445576</v>
      </c>
      <c r="H49" s="27">
        <f t="shared" si="8"/>
        <v>4.2805267788211213E-2</v>
      </c>
      <c r="I49" s="3">
        <v>18865</v>
      </c>
      <c r="J49" s="25">
        <f t="shared" ref="J49:J54" si="11">I49/G49</f>
        <v>4.2338456290284932E-2</v>
      </c>
      <c r="K49" s="3">
        <v>6944</v>
      </c>
      <c r="L49" s="27">
        <f>K49/G49</f>
        <v>1.558432231538503E-2</v>
      </c>
      <c r="M49" s="27">
        <v>0.1</v>
      </c>
      <c r="N49" s="27">
        <v>0.04</v>
      </c>
      <c r="O49" s="27">
        <v>0.02</v>
      </c>
      <c r="P49" s="27">
        <v>0.02</v>
      </c>
      <c r="Q49" s="3">
        <v>0</v>
      </c>
      <c r="R49" s="3" t="s">
        <v>34</v>
      </c>
      <c r="S49" s="3">
        <v>0</v>
      </c>
      <c r="T49" s="3">
        <v>202</v>
      </c>
      <c r="U49" s="3">
        <v>6</v>
      </c>
      <c r="V49" s="3">
        <v>1905</v>
      </c>
      <c r="W49" s="22">
        <v>493.49</v>
      </c>
      <c r="X49" s="22">
        <f>350*1.41</f>
        <v>493.5</v>
      </c>
      <c r="Y49" s="22">
        <f t="shared" si="7"/>
        <v>-9.9999999999909051E-3</v>
      </c>
      <c r="Z49" s="10">
        <v>3</v>
      </c>
      <c r="AA49" s="2"/>
      <c r="AB49" s="2"/>
      <c r="AC49" s="2"/>
      <c r="AD49" s="2"/>
      <c r="AE49" s="2"/>
      <c r="AF49" s="2"/>
      <c r="AG49" s="2"/>
      <c r="AH49" s="2"/>
      <c r="AI49" s="2"/>
    </row>
    <row r="50" spans="2:35" ht="15" customHeight="1" x14ac:dyDescent="0.2">
      <c r="B50" s="359"/>
      <c r="C50" s="68" t="s">
        <v>252</v>
      </c>
      <c r="D50" s="142" t="str">
        <f>HYPERLINK("https://www.facebook.com/129925023862643/posts/982713268583810/","27 Nov")</f>
        <v>27 Nov</v>
      </c>
      <c r="E50" s="3">
        <v>43592</v>
      </c>
      <c r="F50" s="3">
        <v>330861</v>
      </c>
      <c r="G50" s="94">
        <v>521981</v>
      </c>
      <c r="H50" s="27">
        <f t="shared" si="8"/>
        <v>8.3512618275377842E-2</v>
      </c>
      <c r="I50" s="3">
        <v>43391</v>
      </c>
      <c r="J50" s="25">
        <f t="shared" si="11"/>
        <v>8.3127546788101483E-2</v>
      </c>
      <c r="K50" s="3">
        <v>22966</v>
      </c>
      <c r="L50" s="27">
        <f t="shared" ref="L50:L54" si="12">K50/G50</f>
        <v>4.3997770033775176E-2</v>
      </c>
      <c r="M50" s="27">
        <v>0.11</v>
      </c>
      <c r="N50" s="27">
        <v>0.08</v>
      </c>
      <c r="O50" s="27">
        <v>0.06</v>
      </c>
      <c r="P50" s="27">
        <v>0.04</v>
      </c>
      <c r="Q50" s="3">
        <v>0</v>
      </c>
      <c r="R50" s="3" t="s">
        <v>34</v>
      </c>
      <c r="S50" s="3">
        <v>2</v>
      </c>
      <c r="T50" s="3">
        <v>197</v>
      </c>
      <c r="U50" s="3">
        <v>2</v>
      </c>
      <c r="V50" s="3">
        <v>3302</v>
      </c>
      <c r="W50" s="22">
        <v>493.49</v>
      </c>
      <c r="X50" s="22">
        <f>350*1.41</f>
        <v>493.5</v>
      </c>
      <c r="Y50" s="22">
        <f t="shared" ref="Y50" si="13">W50-X50</f>
        <v>-9.9999999999909051E-3</v>
      </c>
      <c r="Z50" s="10">
        <v>7</v>
      </c>
      <c r="AA50" s="2"/>
      <c r="AB50" s="2"/>
      <c r="AC50" s="2"/>
      <c r="AD50" s="2"/>
      <c r="AE50" s="2"/>
      <c r="AF50" s="2"/>
      <c r="AG50" s="2"/>
      <c r="AH50" s="2"/>
      <c r="AI50" s="2"/>
    </row>
    <row r="51" spans="2:35" ht="15" customHeight="1" x14ac:dyDescent="0.2">
      <c r="B51" s="359"/>
      <c r="C51" s="68" t="s">
        <v>253</v>
      </c>
      <c r="D51" s="142" t="str">
        <f>HYPERLINK("
https://www.facebook.com/129925023862643/posts/990406251147845/","4 Dec")</f>
        <v>4 Dec</v>
      </c>
      <c r="E51" s="3">
        <v>22157</v>
      </c>
      <c r="F51" s="3">
        <v>328176</v>
      </c>
      <c r="G51" s="94">
        <v>567377</v>
      </c>
      <c r="H51" s="27">
        <f t="shared" si="8"/>
        <v>3.905163586116462E-2</v>
      </c>
      <c r="I51" s="3">
        <v>21794</v>
      </c>
      <c r="J51" s="25">
        <f t="shared" si="11"/>
        <v>3.8411849616745125E-2</v>
      </c>
      <c r="K51" s="3">
        <v>14154</v>
      </c>
      <c r="L51" s="27">
        <f t="shared" si="12"/>
        <v>2.4946376042737015E-2</v>
      </c>
      <c r="M51" s="27">
        <v>0.18</v>
      </c>
      <c r="N51" s="27">
        <v>7.0000000000000007E-2</v>
      </c>
      <c r="O51" s="27">
        <v>0.04</v>
      </c>
      <c r="P51" s="27">
        <v>0.03</v>
      </c>
      <c r="Q51" s="3">
        <v>1</v>
      </c>
      <c r="R51" s="3" t="s">
        <v>34</v>
      </c>
      <c r="S51" s="3">
        <v>0</v>
      </c>
      <c r="T51" s="3">
        <v>181</v>
      </c>
      <c r="U51" s="3">
        <v>2</v>
      </c>
      <c r="V51" s="3">
        <v>2213</v>
      </c>
      <c r="W51" s="22">
        <v>493.49</v>
      </c>
      <c r="X51" s="22">
        <f>350*1.41</f>
        <v>493.5</v>
      </c>
      <c r="Y51" s="22">
        <f t="shared" ref="Y51" si="14">W51-X51</f>
        <v>-9.9999999999909051E-3</v>
      </c>
      <c r="Z51" s="10">
        <v>4</v>
      </c>
      <c r="AA51" s="2"/>
      <c r="AB51" s="2"/>
      <c r="AC51" s="2"/>
      <c r="AD51" s="2"/>
      <c r="AE51" s="2"/>
      <c r="AF51" s="2"/>
      <c r="AG51" s="2"/>
      <c r="AH51" s="2"/>
      <c r="AI51" s="2"/>
    </row>
    <row r="52" spans="2:35" ht="15" customHeight="1" x14ac:dyDescent="0.2">
      <c r="B52" s="359"/>
      <c r="C52" s="68" t="s">
        <v>254</v>
      </c>
      <c r="D52" s="142" t="str">
        <f>HYPERLINK("https://www.facebook.com/129925023862643/posts/992992477555889/","5 Dec")</f>
        <v>5 Dec</v>
      </c>
      <c r="E52" s="3">
        <v>13055</v>
      </c>
      <c r="F52" s="3">
        <v>303351</v>
      </c>
      <c r="G52" s="94">
        <v>491421</v>
      </c>
      <c r="H52" s="27">
        <f t="shared" si="8"/>
        <v>2.6565816275657735E-2</v>
      </c>
      <c r="I52" s="3">
        <v>12968</v>
      </c>
      <c r="J52" s="25">
        <f t="shared" si="11"/>
        <v>2.6388778664322446E-2</v>
      </c>
      <c r="K52" s="3">
        <v>3017</v>
      </c>
      <c r="L52" s="27">
        <f t="shared" si="12"/>
        <v>6.139338774696238E-3</v>
      </c>
      <c r="M52" s="27">
        <v>0.03</v>
      </c>
      <c r="N52" s="27">
        <v>0.01</v>
      </c>
      <c r="O52" s="27">
        <v>0.01</v>
      </c>
      <c r="P52" s="27">
        <v>0.01</v>
      </c>
      <c r="Q52" s="3">
        <v>0</v>
      </c>
      <c r="R52" s="3" t="s">
        <v>34</v>
      </c>
      <c r="S52" s="3">
        <v>0</v>
      </c>
      <c r="T52" s="3">
        <v>87</v>
      </c>
      <c r="U52" s="3">
        <v>0</v>
      </c>
      <c r="V52" s="3">
        <v>1493</v>
      </c>
      <c r="W52" s="22">
        <v>493.49</v>
      </c>
      <c r="X52" s="22">
        <f>350*1.41</f>
        <v>493.5</v>
      </c>
      <c r="Y52" s="22">
        <f t="shared" ref="Y52:Y55" si="15">W52-X52</f>
        <v>-9.9999999999909051E-3</v>
      </c>
      <c r="Z52" s="10">
        <v>4</v>
      </c>
      <c r="AA52" s="2"/>
      <c r="AB52" s="2"/>
      <c r="AC52" s="2"/>
      <c r="AD52" s="2"/>
      <c r="AE52" s="2"/>
      <c r="AF52" s="2"/>
      <c r="AG52" s="2"/>
      <c r="AH52" s="2"/>
      <c r="AI52" s="2"/>
    </row>
    <row r="53" spans="2:35" ht="15" customHeight="1" x14ac:dyDescent="0.2">
      <c r="B53" s="359"/>
      <c r="C53" s="68" t="s">
        <v>117</v>
      </c>
      <c r="D53" s="142" t="str">
        <f>HYPERLINK("https://www.facebook.com/129925023862643/posts/992992477555889/","20 Dec")</f>
        <v>20 Dec</v>
      </c>
      <c r="E53" s="3">
        <v>615</v>
      </c>
      <c r="F53" s="3">
        <v>267904</v>
      </c>
      <c r="G53" s="94">
        <v>539039</v>
      </c>
      <c r="H53" s="27">
        <f t="shared" si="8"/>
        <v>1.1409193026849635E-3</v>
      </c>
      <c r="I53" s="3" t="s">
        <v>34</v>
      </c>
      <c r="J53" s="3" t="s">
        <v>34</v>
      </c>
      <c r="K53" s="3" t="s">
        <v>34</v>
      </c>
      <c r="L53" s="3" t="s">
        <v>34</v>
      </c>
      <c r="M53" s="3" t="s">
        <v>34</v>
      </c>
      <c r="N53" s="3" t="s">
        <v>34</v>
      </c>
      <c r="O53" s="3" t="s">
        <v>34</v>
      </c>
      <c r="P53" s="3" t="s">
        <v>34</v>
      </c>
      <c r="Q53" s="3">
        <v>1</v>
      </c>
      <c r="R53" s="3">
        <v>504</v>
      </c>
      <c r="S53" s="3">
        <v>0</v>
      </c>
      <c r="T53" s="3">
        <v>82</v>
      </c>
      <c r="U53" s="3">
        <v>0</v>
      </c>
      <c r="V53" s="3">
        <v>1066</v>
      </c>
      <c r="W53" s="22">
        <v>493.49</v>
      </c>
      <c r="X53" s="22">
        <v>493.5</v>
      </c>
      <c r="Y53" s="22">
        <f t="shared" si="15"/>
        <v>-9.9999999999909051E-3</v>
      </c>
      <c r="Z53" s="10">
        <v>3</v>
      </c>
      <c r="AA53" s="2"/>
      <c r="AB53" s="2"/>
      <c r="AC53" s="2"/>
      <c r="AD53" s="2"/>
      <c r="AE53" s="2"/>
      <c r="AF53" s="2"/>
      <c r="AG53" s="2"/>
      <c r="AH53" s="2"/>
      <c r="AI53" s="2"/>
    </row>
    <row r="54" spans="2:35" ht="15" customHeight="1" x14ac:dyDescent="0.2">
      <c r="B54" s="359"/>
      <c r="C54" s="68" t="s">
        <v>118</v>
      </c>
      <c r="D54" s="142" t="str">
        <f>HYPERLINK("https://www.facebook.com/129925023862643/posts/1009038939284576/","24 Dec")</f>
        <v>24 Dec</v>
      </c>
      <c r="E54" s="3">
        <v>10343</v>
      </c>
      <c r="F54" s="3">
        <v>287689</v>
      </c>
      <c r="G54" s="94">
        <v>520785</v>
      </c>
      <c r="H54" s="27">
        <f t="shared" si="8"/>
        <v>1.9860403045402614E-2</v>
      </c>
      <c r="I54" s="3">
        <v>10269</v>
      </c>
      <c r="J54" s="25">
        <f t="shared" si="11"/>
        <v>1.9718309859154931E-2</v>
      </c>
      <c r="K54" s="3">
        <v>1758</v>
      </c>
      <c r="L54" s="27">
        <f t="shared" si="12"/>
        <v>3.375673262478758E-3</v>
      </c>
      <c r="M54" s="27">
        <v>0.77875158243256404</v>
      </c>
      <c r="N54" s="27">
        <v>0.36225533158048495</v>
      </c>
      <c r="O54" s="27">
        <v>0.22816243061641836</v>
      </c>
      <c r="P54" s="27">
        <v>0.16165157269451749</v>
      </c>
      <c r="Q54" s="3">
        <v>1</v>
      </c>
      <c r="R54" s="3">
        <v>0</v>
      </c>
      <c r="S54" s="3">
        <v>1</v>
      </c>
      <c r="T54" s="3">
        <v>73</v>
      </c>
      <c r="U54" s="3">
        <v>0</v>
      </c>
      <c r="V54" s="3">
        <v>1265</v>
      </c>
      <c r="W54" s="22">
        <v>2200</v>
      </c>
      <c r="X54" s="22">
        <v>493.5</v>
      </c>
      <c r="Y54" s="22">
        <f t="shared" si="15"/>
        <v>1706.5</v>
      </c>
      <c r="Z54" s="10">
        <v>2</v>
      </c>
      <c r="AA54" s="2"/>
      <c r="AB54" s="2"/>
      <c r="AC54" s="2"/>
      <c r="AD54" s="2"/>
      <c r="AE54" s="2"/>
      <c r="AF54" s="2"/>
      <c r="AG54" s="2"/>
      <c r="AH54" s="2"/>
      <c r="AI54" s="2"/>
    </row>
    <row r="55" spans="2:35" ht="15" customHeight="1" x14ac:dyDescent="0.2">
      <c r="B55" s="359"/>
      <c r="C55" s="68" t="s">
        <v>255</v>
      </c>
      <c r="D55" s="142" t="str">
        <f>HYPERLINK("https://www.facebook.com/129925023862643/posts/1013791902142613/","1 Jan")</f>
        <v>1 Jan</v>
      </c>
      <c r="E55" s="3">
        <v>4392</v>
      </c>
      <c r="F55" s="3">
        <v>1058048</v>
      </c>
      <c r="G55" s="94">
        <v>2151909</v>
      </c>
      <c r="H55" s="27">
        <f t="shared" si="8"/>
        <v>2.0409784986261037E-3</v>
      </c>
      <c r="I55" s="3" t="s">
        <v>34</v>
      </c>
      <c r="J55" s="3" t="s">
        <v>34</v>
      </c>
      <c r="K55" s="3" t="s">
        <v>34</v>
      </c>
      <c r="L55" s="3" t="s">
        <v>34</v>
      </c>
      <c r="M55" s="3" t="s">
        <v>34</v>
      </c>
      <c r="N55" s="3" t="s">
        <v>34</v>
      </c>
      <c r="O55" s="3" t="s">
        <v>34</v>
      </c>
      <c r="P55" s="3" t="s">
        <v>34</v>
      </c>
      <c r="Q55" s="3">
        <v>2</v>
      </c>
      <c r="R55" s="3">
        <v>3510</v>
      </c>
      <c r="S55" s="3">
        <v>0</v>
      </c>
      <c r="T55" s="3">
        <v>876</v>
      </c>
      <c r="U55" s="3">
        <v>6</v>
      </c>
      <c r="V55" s="3">
        <v>6597</v>
      </c>
      <c r="W55" s="22">
        <v>2200</v>
      </c>
      <c r="X55" s="22">
        <v>2245.8656249999999</v>
      </c>
      <c r="Y55" s="22">
        <f t="shared" si="15"/>
        <v>-45.865624999999909</v>
      </c>
      <c r="Z55" s="10">
        <v>1</v>
      </c>
      <c r="AA55" s="2"/>
      <c r="AB55" s="2"/>
      <c r="AC55" s="2"/>
      <c r="AD55" s="2"/>
      <c r="AE55" s="2"/>
      <c r="AF55" s="2"/>
      <c r="AG55" s="2"/>
      <c r="AH55" s="2"/>
      <c r="AI55" s="2"/>
    </row>
    <row r="56" spans="2:35" ht="15" hidden="1" customHeight="1" x14ac:dyDescent="0.2">
      <c r="B56" s="359"/>
      <c r="C56" s="68" t="s">
        <v>119</v>
      </c>
      <c r="D56" s="142" t="str">
        <f>HYPERLINK("https://www.facebook.com/129925023862643/posts/1024877377700732/","14 Jan")</f>
        <v>14 Jan</v>
      </c>
      <c r="E56" s="3"/>
      <c r="F56" s="3"/>
      <c r="G56" s="94"/>
      <c r="H56" s="27" t="e">
        <f t="shared" si="8"/>
        <v>#DIV/0!</v>
      </c>
      <c r="I56" s="3"/>
      <c r="J56" s="25"/>
      <c r="K56" s="3"/>
      <c r="L56" s="27"/>
      <c r="M56" s="27"/>
      <c r="N56" s="27"/>
      <c r="O56" s="27"/>
      <c r="P56" s="27"/>
      <c r="Q56" s="3"/>
      <c r="R56" s="3"/>
      <c r="S56" s="3"/>
      <c r="T56" s="3"/>
      <c r="U56" s="3"/>
      <c r="V56" s="3"/>
      <c r="W56" s="22"/>
      <c r="X56" s="22"/>
      <c r="Y56" s="22"/>
      <c r="Z56" s="10"/>
      <c r="AA56" s="2"/>
      <c r="AB56" s="2"/>
      <c r="AC56" s="2"/>
      <c r="AD56" s="2"/>
      <c r="AE56" s="2"/>
      <c r="AF56" s="2"/>
      <c r="AG56" s="2"/>
      <c r="AH56" s="2"/>
      <c r="AI56" s="2"/>
    </row>
    <row r="57" spans="2:35" ht="15.75" hidden="1" customHeight="1" x14ac:dyDescent="0.2">
      <c r="B57" s="359"/>
      <c r="C57" s="68"/>
      <c r="D57" s="12"/>
      <c r="E57" s="3"/>
      <c r="F57" s="3"/>
      <c r="G57" s="94"/>
      <c r="H57" s="27" t="e">
        <f t="shared" si="8"/>
        <v>#DIV/0!</v>
      </c>
      <c r="I57" s="3"/>
      <c r="J57" s="25"/>
      <c r="K57" s="3"/>
      <c r="L57" s="25"/>
      <c r="M57" s="25"/>
      <c r="N57" s="25"/>
      <c r="O57" s="25"/>
      <c r="P57" s="25"/>
      <c r="Q57" s="3"/>
      <c r="R57" s="3"/>
      <c r="S57" s="3"/>
      <c r="T57" s="3"/>
      <c r="U57" s="3"/>
      <c r="V57" s="3"/>
      <c r="W57" s="22"/>
      <c r="X57" s="22"/>
      <c r="Y57" s="22">
        <f t="shared" si="7"/>
        <v>0</v>
      </c>
      <c r="Z57" s="10"/>
      <c r="AA57" s="2"/>
      <c r="AB57" s="2"/>
      <c r="AC57" s="2"/>
      <c r="AD57" s="2"/>
      <c r="AE57" s="2"/>
      <c r="AF57" s="2"/>
      <c r="AG57" s="2"/>
      <c r="AH57" s="2"/>
      <c r="AI57" s="2"/>
    </row>
    <row r="58" spans="2:35" ht="15.75" customHeight="1" x14ac:dyDescent="0.2">
      <c r="B58" s="351" t="s">
        <v>120</v>
      </c>
      <c r="C58" s="351"/>
      <c r="D58" s="351"/>
      <c r="E58" s="16">
        <f>SUM(E23:E57)</f>
        <v>297991</v>
      </c>
      <c r="F58" s="16">
        <f>SUM(F23:F57)</f>
        <v>10981258</v>
      </c>
      <c r="G58" s="16">
        <f>SUM(G23:G57)</f>
        <v>17176870</v>
      </c>
      <c r="H58" s="30" t="e">
        <f>AVERAGE(H23:H57)</f>
        <v>#DIV/0!</v>
      </c>
      <c r="I58" s="16">
        <f>SUM(I23:I57)</f>
        <v>279553</v>
      </c>
      <c r="J58" s="98">
        <f>IFERROR(AVERAGE(J23:J57),0)</f>
        <v>3.5147622424195481E-2</v>
      </c>
      <c r="K58" s="16">
        <f>SUM(K23:K57)</f>
        <v>127697</v>
      </c>
      <c r="L58" s="30">
        <f>IFERROR(AVERAGE(L23:L57),0)</f>
        <v>1.5941069065973E-2</v>
      </c>
      <c r="M58" s="30">
        <f>IFERROR(AVERAGE(M23:M57),0)</f>
        <v>0.11288875484731967</v>
      </c>
      <c r="N58" s="30">
        <f>IFERROR(AVERAGE(N23:N57),0)</f>
        <v>5.3629249132261282E-2</v>
      </c>
      <c r="O58" s="30">
        <f>IFERROR(AVERAGE(O23:O57),0)</f>
        <v>3.4336122434458466E-2</v>
      </c>
      <c r="P58" s="30">
        <f>IFERROR(AVERAGE(P23:P57),0)</f>
        <v>2.4845855517462472E-2</v>
      </c>
      <c r="Q58" s="16">
        <f t="shared" ref="Q58:X58" si="16">SUM(Q23:Q57)</f>
        <v>355</v>
      </c>
      <c r="R58" s="16">
        <f t="shared" si="16"/>
        <v>10667</v>
      </c>
      <c r="S58" s="16">
        <f t="shared" si="16"/>
        <v>16</v>
      </c>
      <c r="T58" s="16">
        <f t="shared" si="16"/>
        <v>6980</v>
      </c>
      <c r="U58" s="16">
        <f t="shared" si="16"/>
        <v>544</v>
      </c>
      <c r="V58" s="16">
        <f t="shared" si="16"/>
        <v>63204</v>
      </c>
      <c r="W58" s="24">
        <f t="shared" si="16"/>
        <v>19706.999999999993</v>
      </c>
      <c r="X58" s="24">
        <f t="shared" si="16"/>
        <v>18046.612749999997</v>
      </c>
      <c r="Y58" s="31">
        <f>W58-X58</f>
        <v>1660.3872499999961</v>
      </c>
      <c r="Z58" s="78">
        <f>AVERAGE(Z23:Z57)</f>
        <v>4.5151515151515156</v>
      </c>
      <c r="AA58" s="2"/>
      <c r="AB58" s="2"/>
      <c r="AC58" s="2"/>
      <c r="AD58" s="2"/>
      <c r="AE58" s="2"/>
      <c r="AF58" s="2"/>
      <c r="AG58" s="2"/>
      <c r="AH58" s="2"/>
      <c r="AI58" s="2"/>
    </row>
    <row r="59" spans="2:35" ht="15.75" customHeight="1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6"/>
      <c r="Z59" s="2"/>
      <c r="AA59" s="2"/>
      <c r="AB59" s="2"/>
      <c r="AC59" s="2"/>
      <c r="AD59" s="2"/>
      <c r="AE59" s="2"/>
      <c r="AF59" s="2"/>
      <c r="AG59" s="2"/>
      <c r="AH59" s="2"/>
    </row>
    <row r="60" spans="2:35" ht="12.75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6"/>
      <c r="Z60" s="2"/>
      <c r="AA60" s="2"/>
      <c r="AB60" s="2"/>
      <c r="AC60" s="2"/>
      <c r="AD60" s="2"/>
      <c r="AE60" s="2"/>
      <c r="AF60" s="2"/>
      <c r="AG60" s="2"/>
      <c r="AH60" s="2"/>
    </row>
    <row r="61" spans="2:35" ht="15.75" customHeight="1" x14ac:dyDescent="0.2">
      <c r="B61" s="352" t="s">
        <v>189</v>
      </c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2"/>
      <c r="N61" s="352"/>
      <c r="O61" s="352"/>
      <c r="P61" s="352"/>
      <c r="Q61" s="352"/>
      <c r="R61" s="352"/>
      <c r="S61" s="352"/>
      <c r="T61" s="352"/>
      <c r="U61" s="352"/>
      <c r="V61" s="352"/>
      <c r="W61" s="352"/>
      <c r="X61" s="352"/>
      <c r="Y61" s="352"/>
      <c r="Z61" s="352"/>
      <c r="AA61" s="2"/>
      <c r="AB61" s="2"/>
      <c r="AC61" s="2"/>
      <c r="AD61" s="2"/>
      <c r="AE61" s="2"/>
      <c r="AF61" s="2"/>
      <c r="AG61" s="2"/>
      <c r="AH61" s="2"/>
      <c r="AI61" s="2"/>
    </row>
    <row r="62" spans="2:35" ht="25.5" x14ac:dyDescent="0.2">
      <c r="B62" s="85" t="s">
        <v>159</v>
      </c>
      <c r="C62" s="13" t="s">
        <v>62</v>
      </c>
      <c r="D62" s="13" t="s">
        <v>63</v>
      </c>
      <c r="E62" s="13" t="s">
        <v>64</v>
      </c>
      <c r="F62" s="13" t="s">
        <v>65</v>
      </c>
      <c r="G62" s="13" t="s">
        <v>66</v>
      </c>
      <c r="H62" s="13" t="s">
        <v>67</v>
      </c>
      <c r="I62" s="97" t="s">
        <v>68</v>
      </c>
      <c r="J62" s="13" t="s">
        <v>21</v>
      </c>
      <c r="K62" s="13" t="s">
        <v>69</v>
      </c>
      <c r="L62" s="13" t="s">
        <v>70</v>
      </c>
      <c r="M62" s="13" t="s">
        <v>71</v>
      </c>
      <c r="N62" s="13" t="s">
        <v>72</v>
      </c>
      <c r="O62" s="13" t="s">
        <v>73</v>
      </c>
      <c r="P62" s="13" t="s">
        <v>74</v>
      </c>
      <c r="Q62" s="13" t="s">
        <v>75</v>
      </c>
      <c r="R62" s="13" t="s">
        <v>76</v>
      </c>
      <c r="S62" s="13" t="s">
        <v>77</v>
      </c>
      <c r="T62" s="13" t="s">
        <v>78</v>
      </c>
      <c r="U62" s="13" t="s">
        <v>79</v>
      </c>
      <c r="V62" s="13" t="s">
        <v>80</v>
      </c>
      <c r="W62" s="13" t="s">
        <v>81</v>
      </c>
      <c r="X62" s="14" t="s">
        <v>82</v>
      </c>
      <c r="Y62" s="14" t="s">
        <v>83</v>
      </c>
      <c r="Z62" s="15" t="s">
        <v>84</v>
      </c>
      <c r="AA62" s="2"/>
      <c r="AB62" s="2"/>
      <c r="AC62" s="2"/>
      <c r="AD62" s="2"/>
      <c r="AE62" s="2"/>
      <c r="AF62" s="2"/>
      <c r="AG62" s="2"/>
      <c r="AH62" s="2"/>
    </row>
    <row r="63" spans="2:35" ht="15.75" customHeight="1" x14ac:dyDescent="0.2">
      <c r="B63" s="363" t="s">
        <v>190</v>
      </c>
      <c r="C63" s="10" t="s">
        <v>100</v>
      </c>
      <c r="D63" s="12" t="str">
        <f>HYPERLINK("https://www.facebook.com/ZespriTH/videos/895670933954711/","2 Aug")</f>
        <v>2 Aug</v>
      </c>
      <c r="E63" s="3">
        <v>34843</v>
      </c>
      <c r="F63" s="3">
        <v>141856</v>
      </c>
      <c r="G63" s="3">
        <v>262266</v>
      </c>
      <c r="H63" s="29">
        <f t="shared" ref="H63:H68" si="17">E63/G63</f>
        <v>0.13285366765040074</v>
      </c>
      <c r="I63" s="94">
        <v>34715</v>
      </c>
      <c r="J63" s="25">
        <f t="shared" ref="J63:J70" si="18">I63/G63</f>
        <v>0.13236561353740095</v>
      </c>
      <c r="K63" s="3">
        <v>7351</v>
      </c>
      <c r="L63" s="25">
        <f t="shared" ref="L63:L68" si="19">K63/G63</f>
        <v>2.8028795192666985E-2</v>
      </c>
      <c r="M63" s="25">
        <v>0.12202877994097595</v>
      </c>
      <c r="N63" s="25">
        <v>6.563565235295464E-2</v>
      </c>
      <c r="O63" s="25">
        <v>3.953238315298209E-2</v>
      </c>
      <c r="P63" s="25">
        <v>2.5809674147621118E-2</v>
      </c>
      <c r="Q63" s="3">
        <v>24</v>
      </c>
      <c r="R63" s="3" t="s">
        <v>34</v>
      </c>
      <c r="S63" s="3">
        <v>0</v>
      </c>
      <c r="T63" s="3">
        <v>126</v>
      </c>
      <c r="U63" s="3">
        <v>2</v>
      </c>
      <c r="V63" s="3">
        <v>1414</v>
      </c>
      <c r="W63" s="22">
        <v>493.49</v>
      </c>
      <c r="X63" s="22">
        <v>493.5</v>
      </c>
      <c r="Y63" s="22">
        <f t="shared" ref="Y63:Y64" si="20">W63-X63</f>
        <v>-9.9999999999909051E-3</v>
      </c>
      <c r="Z63" s="10">
        <v>1</v>
      </c>
      <c r="AA63" s="2"/>
      <c r="AB63" s="2"/>
      <c r="AC63" s="2"/>
      <c r="AD63" s="2"/>
      <c r="AE63" s="2"/>
      <c r="AF63" s="2"/>
      <c r="AG63" s="2"/>
      <c r="AH63" s="2"/>
      <c r="AI63" s="2"/>
    </row>
    <row r="64" spans="2:35" ht="15.75" customHeight="1" x14ac:dyDescent="0.2">
      <c r="B64" s="364"/>
      <c r="C64" s="10" t="s">
        <v>256</v>
      </c>
      <c r="D64" s="142" t="str">
        <f>HYPERLINK("https://www.facebook.com/ZespriTH/videos/885314134990391/","6 Aug")</f>
        <v>6 Aug</v>
      </c>
      <c r="E64" s="3">
        <v>44093</v>
      </c>
      <c r="F64" s="3">
        <v>168832</v>
      </c>
      <c r="G64" s="3">
        <v>237898</v>
      </c>
      <c r="H64" s="29">
        <f t="shared" si="17"/>
        <v>0.18534413908481787</v>
      </c>
      <c r="I64" s="94">
        <v>43926</v>
      </c>
      <c r="J64" s="25">
        <f t="shared" si="18"/>
        <v>0.18464215756332547</v>
      </c>
      <c r="K64" s="3">
        <v>19672</v>
      </c>
      <c r="L64" s="25">
        <f t="shared" si="19"/>
        <v>8.2690901142506448E-2</v>
      </c>
      <c r="M64" s="25">
        <v>0.19655902950003784</v>
      </c>
      <c r="N64" s="25">
        <v>0.12391445073098555</v>
      </c>
      <c r="O64" s="25">
        <v>9.75754314874442E-2</v>
      </c>
      <c r="P64" s="25">
        <v>8.2459709623452074E-2</v>
      </c>
      <c r="Q64" s="3">
        <v>30</v>
      </c>
      <c r="R64" s="3" t="s">
        <v>34</v>
      </c>
      <c r="S64" s="3">
        <v>3</v>
      </c>
      <c r="T64" s="3">
        <v>159</v>
      </c>
      <c r="U64" s="3">
        <v>5</v>
      </c>
      <c r="V64" s="3">
        <v>1729</v>
      </c>
      <c r="W64" s="22">
        <v>493.49</v>
      </c>
      <c r="X64" s="22">
        <v>493.5</v>
      </c>
      <c r="Y64" s="22">
        <f t="shared" si="20"/>
        <v>-9.9999999999909051E-3</v>
      </c>
      <c r="Z64" s="10">
        <v>2</v>
      </c>
      <c r="AA64" s="2"/>
      <c r="AB64" s="2"/>
      <c r="AC64" s="2"/>
      <c r="AD64" s="2"/>
      <c r="AE64" s="2"/>
      <c r="AF64" s="2"/>
      <c r="AG64" s="2"/>
      <c r="AH64" s="2"/>
      <c r="AI64" s="2"/>
    </row>
    <row r="65" spans="2:35" ht="15.75" customHeight="1" x14ac:dyDescent="0.2">
      <c r="B65" s="364"/>
      <c r="C65" s="10" t="s">
        <v>257</v>
      </c>
      <c r="D65" s="142" t="str">
        <f>HYPERLINK("https://www.facebook.com/ZespriTH/videos/884112215110583/","15 Aug")</f>
        <v>15 Aug</v>
      </c>
      <c r="E65" s="3">
        <v>30187</v>
      </c>
      <c r="F65" s="3">
        <v>79088</v>
      </c>
      <c r="G65" s="3">
        <v>217401</v>
      </c>
      <c r="H65" s="29">
        <f t="shared" si="17"/>
        <v>0.13885400711128285</v>
      </c>
      <c r="I65" s="94">
        <v>30108</v>
      </c>
      <c r="J65" s="25">
        <f t="shared" si="18"/>
        <v>0.1384906233182</v>
      </c>
      <c r="K65" s="3">
        <v>5759</v>
      </c>
      <c r="L65" s="25">
        <f t="shared" si="19"/>
        <v>2.6490218536253284E-2</v>
      </c>
      <c r="M65" s="25">
        <v>0.1115726238609758</v>
      </c>
      <c r="N65" s="25">
        <v>5.1669495540498891E-2</v>
      </c>
      <c r="O65" s="25">
        <v>3.5193030390844565E-2</v>
      </c>
      <c r="P65" s="25">
        <v>2.6025639256489159E-2</v>
      </c>
      <c r="Q65" s="3">
        <v>15</v>
      </c>
      <c r="R65" s="3" t="s">
        <v>34</v>
      </c>
      <c r="S65" s="3">
        <v>0</v>
      </c>
      <c r="T65" s="3">
        <v>79</v>
      </c>
      <c r="U65" s="3">
        <v>0</v>
      </c>
      <c r="V65" s="3">
        <v>913</v>
      </c>
      <c r="W65" s="22">
        <v>493.49</v>
      </c>
      <c r="X65" s="22">
        <v>493.5</v>
      </c>
      <c r="Y65" s="22">
        <f>W65-X65</f>
        <v>-9.9999999999909051E-3</v>
      </c>
      <c r="Z65" s="10">
        <v>1</v>
      </c>
      <c r="AA65" s="2"/>
      <c r="AB65" s="2"/>
      <c r="AC65" s="2"/>
      <c r="AD65" s="2"/>
      <c r="AE65" s="2"/>
      <c r="AF65" s="2"/>
      <c r="AG65" s="2"/>
      <c r="AH65" s="2"/>
      <c r="AI65" s="2"/>
    </row>
    <row r="66" spans="2:35" ht="15" customHeight="1" x14ac:dyDescent="0.2">
      <c r="B66" s="364"/>
      <c r="C66" s="10" t="s">
        <v>258</v>
      </c>
      <c r="D66" s="142" t="str">
        <f>HYPERLINK("https://www.facebook.com/ZespriTH/videos/906444302877374/","10 Sept")</f>
        <v>10 Sept</v>
      </c>
      <c r="E66" s="3">
        <v>56911</v>
      </c>
      <c r="F66" s="3">
        <v>126624</v>
      </c>
      <c r="G66" s="3">
        <v>266625</v>
      </c>
      <c r="H66" s="29">
        <f t="shared" si="17"/>
        <v>0.2134496015002344</v>
      </c>
      <c r="I66" s="94">
        <v>56807</v>
      </c>
      <c r="J66" s="25">
        <f t="shared" si="18"/>
        <v>0.21305954055321144</v>
      </c>
      <c r="K66" s="3">
        <v>9607</v>
      </c>
      <c r="L66" s="25">
        <f t="shared" si="19"/>
        <v>3.6031879981247072E-2</v>
      </c>
      <c r="M66" s="25">
        <v>0.17285325832161275</v>
      </c>
      <c r="N66" s="25">
        <v>6.9029535864978897E-2</v>
      </c>
      <c r="O66" s="25">
        <v>5.0861697140178151E-2</v>
      </c>
      <c r="P66" s="25">
        <v>3.5263009845288323E-2</v>
      </c>
      <c r="Q66" s="3">
        <v>8</v>
      </c>
      <c r="R66" s="3" t="s">
        <v>34</v>
      </c>
      <c r="S66" s="3">
        <v>1</v>
      </c>
      <c r="T66" s="3">
        <v>100</v>
      </c>
      <c r="U66" s="3">
        <v>3</v>
      </c>
      <c r="V66" s="3">
        <v>1140</v>
      </c>
      <c r="W66" s="22">
        <v>493.49</v>
      </c>
      <c r="X66" s="22">
        <v>493.5</v>
      </c>
      <c r="Y66" s="22">
        <f>W66-X66</f>
        <v>-9.9999999999909051E-3</v>
      </c>
      <c r="Z66" s="10">
        <v>1</v>
      </c>
      <c r="AA66" s="2"/>
      <c r="AB66" s="2"/>
      <c r="AC66" s="2"/>
      <c r="AD66" s="2"/>
      <c r="AE66" s="2"/>
      <c r="AF66" s="2"/>
      <c r="AG66" s="2"/>
      <c r="AH66" s="2"/>
      <c r="AI66" s="2"/>
    </row>
    <row r="67" spans="2:35" ht="15" customHeight="1" x14ac:dyDescent="0.2">
      <c r="B67" s="364"/>
      <c r="C67" s="10" t="s">
        <v>201</v>
      </c>
      <c r="D67" s="142" t="str">
        <f>HYPERLINK("https://www.facebook.com/ZespriTH/videos/242146256465249/","5 Oct")</f>
        <v>5 Oct</v>
      </c>
      <c r="E67" s="3">
        <v>39184</v>
      </c>
      <c r="F67" s="3">
        <v>150719</v>
      </c>
      <c r="G67" s="3">
        <v>244193</v>
      </c>
      <c r="H67" s="29">
        <f t="shared" si="17"/>
        <v>0.16046324014201882</v>
      </c>
      <c r="I67" s="94">
        <v>38863</v>
      </c>
      <c r="J67" s="25">
        <f t="shared" si="18"/>
        <v>0.15914870614636784</v>
      </c>
      <c r="K67" s="3">
        <v>11589</v>
      </c>
      <c r="L67" s="25">
        <f t="shared" si="19"/>
        <v>4.7458362852334013E-2</v>
      </c>
      <c r="M67" s="25">
        <v>0.1629121227881225</v>
      </c>
      <c r="N67" s="25">
        <v>0.1020340468399995</v>
      </c>
      <c r="O67" s="25">
        <v>7.7565695986371433E-2</v>
      </c>
      <c r="P67" s="25">
        <v>5.9207266383557271E-2</v>
      </c>
      <c r="Q67" s="3">
        <v>0</v>
      </c>
      <c r="R67" s="3" t="s">
        <v>34</v>
      </c>
      <c r="S67" s="3">
        <v>0</v>
      </c>
      <c r="T67" s="3">
        <v>317</v>
      </c>
      <c r="U67" s="3">
        <v>4</v>
      </c>
      <c r="V67" s="3">
        <v>2339</v>
      </c>
      <c r="W67" s="22">
        <v>493.49</v>
      </c>
      <c r="X67" s="22">
        <v>493.48237499999999</v>
      </c>
      <c r="Y67" s="22">
        <f>W67-X67</f>
        <v>7.6250000000186446E-3</v>
      </c>
      <c r="Z67" s="10">
        <v>2</v>
      </c>
      <c r="AA67" s="2"/>
      <c r="AB67" s="2"/>
      <c r="AC67" s="2"/>
      <c r="AD67" s="2"/>
      <c r="AE67" s="2"/>
      <c r="AF67" s="2"/>
      <c r="AG67" s="2"/>
      <c r="AH67" s="2"/>
      <c r="AI67" s="2"/>
    </row>
    <row r="68" spans="2:35" ht="15" customHeight="1" x14ac:dyDescent="0.2">
      <c r="B68" s="364"/>
      <c r="C68" s="10" t="s">
        <v>259</v>
      </c>
      <c r="D68" s="142" t="str">
        <f>HYPERLINK("https://www.facebook.com/ZespriTH/videos/237926747074894/","24 Oct")</f>
        <v>24 Oct</v>
      </c>
      <c r="E68" s="3">
        <v>46961</v>
      </c>
      <c r="F68" s="3">
        <v>175933</v>
      </c>
      <c r="G68" s="3">
        <v>265225</v>
      </c>
      <c r="H68" s="29">
        <f t="shared" si="17"/>
        <v>0.17706098595532097</v>
      </c>
      <c r="I68" s="94">
        <v>46683</v>
      </c>
      <c r="J68" s="25">
        <f t="shared" si="18"/>
        <v>0.17601281930436422</v>
      </c>
      <c r="K68" s="3">
        <v>32824</v>
      </c>
      <c r="L68" s="25">
        <f t="shared" si="19"/>
        <v>0.12375907248562541</v>
      </c>
      <c r="M68" s="25">
        <v>0.35779809595626355</v>
      </c>
      <c r="N68" s="25">
        <v>0.2147723630879442</v>
      </c>
      <c r="O68" s="25">
        <v>0.15734187953624282</v>
      </c>
      <c r="P68" s="25">
        <v>0.12412102931473278</v>
      </c>
      <c r="Q68" s="3">
        <v>0</v>
      </c>
      <c r="R68" s="3" t="s">
        <v>34</v>
      </c>
      <c r="S68" s="3">
        <v>0</v>
      </c>
      <c r="T68" s="3">
        <v>276</v>
      </c>
      <c r="U68" s="3">
        <v>2</v>
      </c>
      <c r="V68" s="3">
        <v>2394</v>
      </c>
      <c r="W68" s="22">
        <v>493.49</v>
      </c>
      <c r="X68" s="22">
        <v>493.48237499999999</v>
      </c>
      <c r="Y68" s="22">
        <f>W68-X68</f>
        <v>7.6250000000186446E-3</v>
      </c>
      <c r="Z68" s="10">
        <v>3</v>
      </c>
      <c r="AA68" s="2"/>
      <c r="AB68" s="2"/>
      <c r="AC68" s="2"/>
      <c r="AD68" s="2"/>
      <c r="AE68" s="2"/>
      <c r="AF68" s="2"/>
      <c r="AG68" s="2"/>
      <c r="AH68" s="2"/>
      <c r="AI68" s="2"/>
    </row>
    <row r="69" spans="2:35" ht="15" hidden="1" customHeight="1" x14ac:dyDescent="0.2">
      <c r="B69" s="364"/>
      <c r="C69" s="10"/>
      <c r="D69" s="176"/>
      <c r="E69" s="3"/>
      <c r="F69" s="3"/>
      <c r="G69" s="3"/>
      <c r="H69" s="29"/>
      <c r="I69" s="94"/>
      <c r="J69" s="25" t="e">
        <f t="shared" si="18"/>
        <v>#DIV/0!</v>
      </c>
      <c r="K69" s="3"/>
      <c r="L69" s="25"/>
      <c r="M69" s="25"/>
      <c r="N69" s="25"/>
      <c r="O69" s="25"/>
      <c r="P69" s="25"/>
      <c r="Q69" s="3"/>
      <c r="R69" s="3"/>
      <c r="S69" s="3"/>
      <c r="T69" s="3"/>
      <c r="U69" s="3"/>
      <c r="V69" s="3"/>
      <c r="W69" s="22"/>
      <c r="X69" s="22"/>
      <c r="Y69" s="22"/>
      <c r="Z69" s="10"/>
      <c r="AA69" s="2"/>
      <c r="AB69" s="2"/>
      <c r="AC69" s="2"/>
      <c r="AD69" s="2"/>
      <c r="AE69" s="2"/>
      <c r="AF69" s="2"/>
      <c r="AG69" s="2"/>
      <c r="AH69" s="2"/>
      <c r="AI69" s="2"/>
    </row>
    <row r="70" spans="2:35" ht="15" hidden="1" customHeight="1" x14ac:dyDescent="0.2">
      <c r="B70" s="365"/>
      <c r="C70" s="10"/>
      <c r="D70" s="80"/>
      <c r="E70" s="3"/>
      <c r="F70" s="3"/>
      <c r="G70" s="94"/>
      <c r="H70" s="27"/>
      <c r="I70" s="3"/>
      <c r="J70" s="25" t="e">
        <f t="shared" si="18"/>
        <v>#DIV/0!</v>
      </c>
      <c r="K70" s="3"/>
      <c r="L70" s="25"/>
      <c r="M70" s="25"/>
      <c r="N70" s="25"/>
      <c r="O70" s="25"/>
      <c r="P70" s="25"/>
      <c r="Q70" s="3"/>
      <c r="R70" s="3"/>
      <c r="S70" s="3"/>
      <c r="T70" s="3"/>
      <c r="U70" s="3"/>
      <c r="V70" s="3"/>
      <c r="W70" s="22"/>
      <c r="X70" s="22"/>
      <c r="Y70" s="22"/>
      <c r="Z70" s="10"/>
      <c r="AA70" s="2"/>
      <c r="AB70" s="2"/>
      <c r="AC70" s="2"/>
      <c r="AD70" s="2"/>
      <c r="AE70" s="2"/>
      <c r="AF70" s="2"/>
      <c r="AG70" s="2"/>
      <c r="AH70" s="2"/>
      <c r="AI70" s="2"/>
    </row>
    <row r="71" spans="2:35" ht="15" customHeight="1" x14ac:dyDescent="0.2">
      <c r="B71" s="360" t="s">
        <v>120</v>
      </c>
      <c r="C71" s="361"/>
      <c r="D71" s="362"/>
      <c r="E71" s="72">
        <f>SUM(E63:E70)</f>
        <v>252179</v>
      </c>
      <c r="F71" s="72">
        <f>SUM(F63:F70)</f>
        <v>843052</v>
      </c>
      <c r="G71" s="72">
        <f>SUM(G63:G70)</f>
        <v>1493608</v>
      </c>
      <c r="H71" s="73">
        <f>AVERAGE(H63:H70)</f>
        <v>0.1680042735740126</v>
      </c>
      <c r="I71" s="72">
        <f>SUM(I63:I70)</f>
        <v>251102</v>
      </c>
      <c r="J71" s="73">
        <f>IFERROR(AVERAGE(J63:J70),0)</f>
        <v>0</v>
      </c>
      <c r="K71" s="72">
        <f>SUM(K63:K70)</f>
        <v>86802</v>
      </c>
      <c r="L71" s="73">
        <f>IFERROR(AVERAGE(L63:L70),0)</f>
        <v>5.740987169843887E-2</v>
      </c>
      <c r="M71" s="73">
        <f>IFERROR(AVERAGE(M63:M70),0)</f>
        <v>0.18728731839466475</v>
      </c>
      <c r="N71" s="73">
        <f>IFERROR(AVERAGE(N63:N70),0)</f>
        <v>0.10450925740289362</v>
      </c>
      <c r="O71" s="73">
        <f>IFERROR(AVERAGE(O63:O70),0)</f>
        <v>7.6345019615677204E-2</v>
      </c>
      <c r="P71" s="73">
        <f>IFERROR(AVERAGE(P63:P70),0)</f>
        <v>5.8814388095190122E-2</v>
      </c>
      <c r="Q71" s="72">
        <f t="shared" ref="Q71:X71" si="21">SUM(Q63:Q70)</f>
        <v>77</v>
      </c>
      <c r="R71" s="72" t="s">
        <v>34</v>
      </c>
      <c r="S71" s="72">
        <f t="shared" si="21"/>
        <v>4</v>
      </c>
      <c r="T71" s="72">
        <f t="shared" si="21"/>
        <v>1057</v>
      </c>
      <c r="U71" s="72">
        <f t="shared" si="21"/>
        <v>16</v>
      </c>
      <c r="V71" s="72">
        <f t="shared" si="21"/>
        <v>9929</v>
      </c>
      <c r="W71" s="75">
        <f t="shared" si="21"/>
        <v>2960.9399999999996</v>
      </c>
      <c r="X71" s="75">
        <f t="shared" si="21"/>
        <v>2960.9647500000001</v>
      </c>
      <c r="Y71" s="74">
        <f>W71-X71</f>
        <v>-2.4750000000494765E-2</v>
      </c>
      <c r="Z71" s="77">
        <f>AVERAGE(Z63:Z70)</f>
        <v>1.6666666666666667</v>
      </c>
      <c r="AA71" s="2"/>
      <c r="AB71" s="2"/>
      <c r="AC71" s="2"/>
      <c r="AD71" s="2"/>
      <c r="AE71" s="2"/>
      <c r="AF71" s="2"/>
      <c r="AG71" s="2"/>
      <c r="AH71" s="2"/>
      <c r="AI71" s="2"/>
    </row>
    <row r="72" spans="2:35" ht="12.75" x14ac:dyDescent="0.2">
      <c r="B72" s="2"/>
      <c r="C72" s="2"/>
      <c r="D72" s="2"/>
      <c r="E72" s="2"/>
      <c r="F72" s="2"/>
      <c r="G72" s="2">
        <f>G66+G67+G68</f>
        <v>776043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141">
        <f>X66+X67+X68</f>
        <v>1480.4647500000001</v>
      </c>
      <c r="Y72" s="6"/>
      <c r="Z72" s="2"/>
      <c r="AA72" s="2"/>
      <c r="AB72" s="2"/>
      <c r="AC72" s="2"/>
      <c r="AD72" s="2"/>
      <c r="AE72" s="2"/>
      <c r="AF72" s="2"/>
      <c r="AG72" s="2"/>
      <c r="AH72" s="2"/>
    </row>
    <row r="73" spans="2:35" ht="12.75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6"/>
      <c r="Z73" s="2"/>
      <c r="AA73" s="2"/>
      <c r="AB73" s="2"/>
      <c r="AC73" s="2"/>
      <c r="AD73" s="2"/>
      <c r="AE73" s="2"/>
      <c r="AF73" s="2"/>
      <c r="AG73" s="2"/>
      <c r="AH73" s="2"/>
    </row>
    <row r="74" spans="2:35" ht="12.7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6"/>
      <c r="Z74" s="2"/>
      <c r="AA74" s="2"/>
      <c r="AB74" s="2"/>
      <c r="AC74" s="2"/>
      <c r="AD74" s="2"/>
      <c r="AE74" s="2"/>
      <c r="AF74" s="2"/>
      <c r="AG74" s="2"/>
      <c r="AH74" s="2"/>
    </row>
    <row r="75" spans="2:35" ht="12.75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6"/>
      <c r="Z75" s="2"/>
      <c r="AA75" s="2"/>
      <c r="AB75" s="2"/>
      <c r="AC75" s="2"/>
      <c r="AD75" s="2"/>
      <c r="AE75" s="2"/>
      <c r="AF75" s="2"/>
      <c r="AG75" s="2"/>
      <c r="AH75" s="2"/>
    </row>
    <row r="76" spans="2:35" ht="12.75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6"/>
      <c r="Z76" s="2"/>
      <c r="AA76" s="2"/>
      <c r="AB76" s="2"/>
      <c r="AC76" s="2"/>
      <c r="AD76" s="2"/>
      <c r="AE76" s="2"/>
      <c r="AF76" s="2"/>
      <c r="AG76" s="2"/>
      <c r="AH76" s="2"/>
    </row>
    <row r="77" spans="2:35" ht="12.75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6"/>
      <c r="Z77" s="2"/>
      <c r="AA77" s="2"/>
      <c r="AB77" s="2"/>
      <c r="AC77" s="2"/>
      <c r="AD77" s="2"/>
      <c r="AE77" s="2"/>
      <c r="AF77" s="2"/>
      <c r="AG77" s="2"/>
      <c r="AH77" s="2"/>
    </row>
    <row r="78" spans="2:35" ht="12.75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6"/>
      <c r="Z78" s="2"/>
      <c r="AA78" s="2"/>
      <c r="AB78" s="2"/>
      <c r="AC78" s="2"/>
      <c r="AD78" s="2"/>
      <c r="AE78" s="2"/>
      <c r="AF78" s="2"/>
      <c r="AG78" s="2"/>
      <c r="AH78" s="2"/>
    </row>
    <row r="79" spans="2:35" ht="12.75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6"/>
      <c r="Z79" s="2"/>
      <c r="AA79" s="2"/>
      <c r="AB79" s="2"/>
      <c r="AC79" s="2"/>
      <c r="AD79" s="2"/>
      <c r="AE79" s="2"/>
      <c r="AF79" s="2"/>
      <c r="AG79" s="2"/>
      <c r="AH79" s="2"/>
    </row>
    <row r="80" spans="2:35" ht="12.75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6"/>
      <c r="Z80" s="2"/>
      <c r="AA80" s="2"/>
      <c r="AB80" s="2"/>
      <c r="AC80" s="2"/>
      <c r="AD80" s="2"/>
      <c r="AE80" s="2"/>
      <c r="AF80" s="2"/>
      <c r="AG80" s="2"/>
      <c r="AH80" s="2"/>
    </row>
    <row r="81" spans="2:34" ht="12.75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6"/>
      <c r="Z81" s="2"/>
      <c r="AA81" s="2"/>
      <c r="AB81" s="2"/>
      <c r="AC81" s="2"/>
      <c r="AD81" s="2"/>
      <c r="AE81" s="2"/>
      <c r="AF81" s="2"/>
      <c r="AG81" s="2"/>
      <c r="AH81" s="2"/>
    </row>
    <row r="82" spans="2:34" ht="12.75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6"/>
      <c r="Z82" s="2"/>
      <c r="AA82" s="2"/>
      <c r="AB82" s="2"/>
      <c r="AC82" s="2"/>
      <c r="AD82" s="2"/>
      <c r="AE82" s="2"/>
      <c r="AF82" s="2"/>
      <c r="AG82" s="2"/>
      <c r="AH82" s="2"/>
    </row>
    <row r="83" spans="2:34" ht="12.75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6"/>
      <c r="Z83" s="2"/>
      <c r="AA83" s="2"/>
      <c r="AB83" s="2"/>
      <c r="AC83" s="2"/>
      <c r="AD83" s="2"/>
      <c r="AE83" s="2"/>
      <c r="AF83" s="2"/>
      <c r="AG83" s="2"/>
      <c r="AH83" s="2"/>
    </row>
    <row r="84" spans="2:34" ht="12.75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6"/>
      <c r="Z84" s="2"/>
      <c r="AA84" s="2"/>
      <c r="AB84" s="2"/>
      <c r="AC84" s="2"/>
      <c r="AD84" s="2"/>
      <c r="AE84" s="2"/>
      <c r="AF84" s="2"/>
      <c r="AG84" s="2"/>
      <c r="AH84" s="2"/>
    </row>
    <row r="85" spans="2:34" ht="12.75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6"/>
      <c r="Z85" s="2"/>
      <c r="AA85" s="2"/>
      <c r="AB85" s="2"/>
      <c r="AC85" s="2"/>
      <c r="AD85" s="2"/>
      <c r="AE85" s="2"/>
      <c r="AF85" s="2"/>
      <c r="AG85" s="2"/>
      <c r="AH85" s="2"/>
    </row>
    <row r="86" spans="2:34" ht="12.75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6"/>
      <c r="Z86" s="2"/>
      <c r="AA86" s="2"/>
      <c r="AB86" s="2"/>
      <c r="AC86" s="2"/>
      <c r="AD86" s="2"/>
      <c r="AE86" s="2"/>
      <c r="AF86" s="2"/>
      <c r="AG86" s="2"/>
      <c r="AH86" s="2"/>
    </row>
    <row r="87" spans="2:34" ht="12.75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6"/>
      <c r="Z87" s="2"/>
      <c r="AA87" s="2"/>
      <c r="AB87" s="2"/>
      <c r="AC87" s="2"/>
      <c r="AD87" s="2"/>
      <c r="AE87" s="2"/>
      <c r="AF87" s="2"/>
      <c r="AG87" s="2"/>
      <c r="AH87" s="2"/>
    </row>
    <row r="88" spans="2:34" ht="12.75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6"/>
      <c r="Z88" s="2"/>
      <c r="AA88" s="2"/>
      <c r="AB88" s="2"/>
      <c r="AC88" s="2"/>
      <c r="AD88" s="2"/>
      <c r="AE88" s="2"/>
      <c r="AF88" s="2"/>
      <c r="AG88" s="2"/>
      <c r="AH88" s="2"/>
    </row>
    <row r="89" spans="2:34" ht="12.75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6"/>
      <c r="Z89" s="2"/>
      <c r="AA89" s="2"/>
      <c r="AB89" s="2"/>
      <c r="AC89" s="2"/>
      <c r="AD89" s="2"/>
      <c r="AE89" s="2"/>
      <c r="AF89" s="2"/>
      <c r="AG89" s="2"/>
      <c r="AH89" s="2"/>
    </row>
    <row r="90" spans="2:34" ht="12.75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6"/>
      <c r="Z90" s="2"/>
      <c r="AA90" s="2"/>
      <c r="AB90" s="2"/>
      <c r="AC90" s="2"/>
      <c r="AD90" s="2"/>
      <c r="AE90" s="2"/>
      <c r="AF90" s="2"/>
      <c r="AG90" s="2"/>
      <c r="AH90" s="2"/>
    </row>
    <row r="91" spans="2:34" ht="12.75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6"/>
      <c r="Z91" s="2"/>
      <c r="AA91" s="2"/>
      <c r="AB91" s="2"/>
      <c r="AC91" s="2"/>
      <c r="AD91" s="2"/>
      <c r="AE91" s="2"/>
      <c r="AF91" s="2"/>
      <c r="AG91" s="2"/>
      <c r="AH91" s="2"/>
    </row>
    <row r="92" spans="2:34" ht="12.75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6"/>
      <c r="Z92" s="2"/>
      <c r="AA92" s="2"/>
      <c r="AB92" s="2"/>
      <c r="AC92" s="2"/>
      <c r="AD92" s="2"/>
      <c r="AE92" s="2"/>
      <c r="AF92" s="2"/>
      <c r="AG92" s="2"/>
      <c r="AH92" s="2"/>
    </row>
    <row r="93" spans="2:34" ht="12.75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6"/>
      <c r="Z93" s="2"/>
      <c r="AA93" s="2"/>
      <c r="AB93" s="2"/>
      <c r="AC93" s="2"/>
      <c r="AD93" s="2"/>
      <c r="AE93" s="2"/>
      <c r="AF93" s="2"/>
      <c r="AG93" s="2"/>
      <c r="AH93" s="2"/>
    </row>
    <row r="94" spans="2:34" ht="12.75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6"/>
      <c r="Z94" s="2"/>
      <c r="AA94" s="2"/>
      <c r="AB94" s="2"/>
      <c r="AC94" s="2"/>
      <c r="AD94" s="2"/>
      <c r="AE94" s="2"/>
      <c r="AF94" s="2"/>
      <c r="AG94" s="2"/>
      <c r="AH94" s="2"/>
    </row>
    <row r="95" spans="2:34" ht="12.75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6"/>
      <c r="Z95" s="2"/>
      <c r="AA95" s="2"/>
      <c r="AB95" s="2"/>
      <c r="AC95" s="2"/>
      <c r="AD95" s="2"/>
      <c r="AE95" s="2"/>
      <c r="AF95" s="2"/>
      <c r="AG95" s="2"/>
      <c r="AH95" s="2"/>
    </row>
    <row r="96" spans="2:34" ht="12.75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6"/>
      <c r="Z96" s="2"/>
      <c r="AA96" s="2"/>
      <c r="AB96" s="2"/>
      <c r="AC96" s="2"/>
      <c r="AD96" s="2"/>
      <c r="AE96" s="2"/>
      <c r="AF96" s="2"/>
      <c r="AG96" s="2"/>
      <c r="AH96" s="2"/>
    </row>
    <row r="97" spans="2:34" ht="12.75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6"/>
      <c r="Z97" s="2"/>
      <c r="AA97" s="2"/>
      <c r="AB97" s="2"/>
      <c r="AC97" s="2"/>
      <c r="AD97" s="2"/>
      <c r="AE97" s="2"/>
      <c r="AF97" s="2"/>
      <c r="AG97" s="2"/>
      <c r="AH97" s="2"/>
    </row>
    <row r="98" spans="2:34" ht="12.75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6"/>
      <c r="Z98" s="2"/>
      <c r="AA98" s="2"/>
      <c r="AB98" s="2"/>
      <c r="AC98" s="2"/>
      <c r="AD98" s="2"/>
      <c r="AE98" s="2"/>
      <c r="AF98" s="2"/>
      <c r="AG98" s="2"/>
      <c r="AH98" s="2"/>
    </row>
    <row r="99" spans="2:34" ht="12.75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6"/>
      <c r="Z99" s="2"/>
      <c r="AA99" s="2"/>
      <c r="AB99" s="2"/>
      <c r="AC99" s="2"/>
      <c r="AD99" s="2"/>
      <c r="AE99" s="2"/>
      <c r="AF99" s="2"/>
      <c r="AG99" s="2"/>
      <c r="AH99" s="2"/>
    </row>
    <row r="100" spans="2:34" ht="12.75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6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2:34" ht="12.75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6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2:34" ht="12.75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6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2:34" ht="12.75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6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2:34" ht="12.75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6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2:34" ht="12.75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6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2:34" ht="12.75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6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2:34" ht="12.75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6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2:34" ht="12.75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6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2:34" ht="12.75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6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2:34" ht="12.75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6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2:34" ht="12.75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6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2:34" ht="12.75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6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2:34" ht="12.75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6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2:34" ht="12.75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6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2:34" ht="12.75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6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2:34" ht="12.75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6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2:34" ht="12.75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6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2:34" ht="12.75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6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2:34" ht="12.75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6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2:34" ht="12.75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6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2:34" ht="12.75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6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2:34" ht="12.75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6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2:34" ht="12.75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6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2:34" ht="12.75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6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2:34" ht="12.75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6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2:34" ht="12.75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6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2:34" ht="12.75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6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2:34" ht="12.75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6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2:34" ht="12.75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6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2:34" ht="12.75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6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2:34" ht="12.75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6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2:34" ht="12.75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6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2:34" ht="12.75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6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2:34" ht="12.75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6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2:34" ht="12.75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6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2:34" ht="12.75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6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2:34" ht="12.75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6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2:34" ht="12.75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6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2:34" ht="12.75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6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2:34" ht="12.75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6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2:34" ht="12.75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6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2:34" ht="12.75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6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2:34" ht="12.75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6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2:34" ht="12.75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6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2:34" ht="12.75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6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2:34" ht="12.75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6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2:34" ht="12.75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6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2:34" ht="12.75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6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2:34" ht="12.75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6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2:34" ht="12.75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6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2:34" ht="12.75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6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2:34" ht="12.75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6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2:34" ht="12.75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6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2:34" ht="12.75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6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2:34" ht="12.75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6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2:34" ht="12.75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6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2:34" ht="12.75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6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2:34" ht="12.75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6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2:34" ht="12.75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6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2:34" ht="12.75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6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2:34" ht="12.75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6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2:34" ht="12.75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6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2:34" ht="12.75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6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2:34" ht="12.75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6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2:34" ht="12.75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6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2:34" ht="12.75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6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2:34" ht="12.75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6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2:34" ht="12.75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6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2:34" ht="12.75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6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2:34" ht="12.75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6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2:34" ht="12.75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6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2:34" ht="12.75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6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2:34" ht="12.75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6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2:34" ht="12.75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6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2:34" ht="12.75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6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2:34" ht="12.75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6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2:34" ht="12.75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6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2:34" ht="12.75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6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2:34" ht="12.75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6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2:34" ht="12.75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6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2:34" ht="12.75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6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2:34" ht="12.75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6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2:34" ht="12.75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6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2:34" ht="12.75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6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2:34" ht="12.75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6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2:34" ht="12.75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6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2:34" ht="12.75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6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2:34" ht="12.75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6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2:34" ht="12.75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6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2:34" ht="12.75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6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2:34" ht="12.75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6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2:34" ht="12.75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6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2:34" ht="12.75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6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2:34" ht="12.75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6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2:34" ht="12.75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6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2:34" ht="12.75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6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2:34" ht="12.75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6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2:34" ht="12.75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6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2:34" ht="12.75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6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2:34" ht="12.75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6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2:34" ht="12.75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6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2:34" ht="12.75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6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2:34" ht="12.75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6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2:34" ht="12.75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6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2:34" ht="12.75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6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2:34" ht="12.75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6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2:34" ht="12.75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6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2:34" ht="12.75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6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2:34" ht="12.75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6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2:34" ht="12.75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6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2:34" ht="12.75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6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2:34" ht="12.75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6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2:34" ht="12.75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6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2:34" ht="12.75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6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2:34" ht="12.75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6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2:34" ht="12.75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6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2:34" ht="12.75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6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2:34" ht="12.75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6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2:34" ht="12.75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6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2:34" ht="12.75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6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2:34" ht="12.75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6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2:34" ht="12.75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6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2:34" ht="12.75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6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2:34" ht="12.75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6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2:34" ht="12.75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6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2:34" ht="12.75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6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2:34" ht="12.75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6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2:34" ht="12.75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6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2:34" ht="12.75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6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2:34" ht="12.75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6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2:34" ht="12.75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6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2:34" ht="12.75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6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2:34" ht="12.75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6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2:34" ht="12.75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6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2:34" ht="12.75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6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2:34" ht="12.75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6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2:34" ht="12.75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6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2:34" ht="12.75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6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2:34" ht="12.75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6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2:34" ht="12.75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6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2:34" ht="12.75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6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2:34" ht="12.75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6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2:34" ht="12.75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6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2:34" ht="12.75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6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2:34" ht="12.75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6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2:34" ht="12.75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6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2:34" ht="12.75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6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2:34" ht="12.75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6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2:34" ht="12.75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6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2:34" ht="12.75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6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2:34" ht="12.75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6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2:34" ht="12.75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6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2:34" ht="12.75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6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2:34" ht="12.75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6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2:34" ht="12.75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6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2:34" ht="12.75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6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2:34" ht="12.75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6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2:34" ht="12.75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6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2:34" ht="12.75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6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2:34" ht="12.75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6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2:34" ht="12.75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6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2:34" ht="12.75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6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2:34" ht="12.75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6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2:34" ht="12.75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6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2:34" ht="12.75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6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2:34" ht="12.75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6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2:34" ht="12.75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6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2:34" ht="12.75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6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2:34" ht="12.75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6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2:34" ht="12.75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6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2:34" ht="12.75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6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2:34" ht="12.75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6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2:34" ht="12.75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6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2:34" ht="12.75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6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2:34" ht="12.75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6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2:34" ht="12.75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6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2:34" ht="12.75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6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2:34" ht="12.75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6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2:34" ht="12.75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6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2:34" ht="12.75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6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2:34" ht="12.75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6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2:34" ht="12.75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6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2:34" ht="12.75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6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2:34" ht="12.75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6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2:34" ht="12.75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6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2:34" ht="12.75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6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2:34" ht="12.75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6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2:34" ht="12.75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6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2:34" ht="12.75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6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2:34" ht="12.75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6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2:34" ht="12.75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6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2:34" ht="12.75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6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2:34" ht="12.75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6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2:34" ht="12.75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6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2:34" ht="12.75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6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2:34" ht="12.75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6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2:34" ht="12.75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6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2:34" ht="12.75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6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2:34" ht="12.75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6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2:34" ht="12.75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6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2:34" ht="12.75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6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2:34" ht="12.75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6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2:34" ht="12.75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6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2:34" ht="12.75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6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2:34" ht="12.75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6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2:34" ht="12.75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6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2:34" ht="12.75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6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2:34" ht="12.75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6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2:34" ht="12.75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6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2:34" ht="12.75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6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2:34" ht="12.75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6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2:34" ht="12.75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6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2:34" ht="12.75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6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2:34" ht="12.75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6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2:34" ht="12.75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6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2:34" ht="12.75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6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2:34" ht="12.75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6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2:34" ht="12.75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6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2:34" ht="12.75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6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2:34" ht="12.75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6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2:34" ht="12.75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6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2:34" ht="12.75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6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2:34" ht="12.75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6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2:34" ht="12.75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6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2:34" ht="12.75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6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2:34" ht="12.75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6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2:34" ht="12.75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6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2:34" ht="12.75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6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2:34" ht="12.75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6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2:34" ht="12.75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6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2:34" ht="12.75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6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2:34" ht="12.75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6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2:34" ht="12.75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6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2:34" ht="12.75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6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2:34" ht="12.75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6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2:34" ht="12.75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6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2:34" ht="12.75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6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2:34" ht="12.75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6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2:34" ht="12.75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6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2:34" ht="12.75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6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2:34" ht="12.75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6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2:34" ht="12.75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6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2:34" ht="12.75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6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2:34" ht="12.75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6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2:34" ht="12.75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6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2:34" ht="12.75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6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2:34" ht="12.75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6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2:34" ht="12.75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6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2:34" ht="12.75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6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2:34" ht="12.75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6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2:34" ht="12.75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6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2:34" ht="12.75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6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2:34" ht="12.75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6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2:34" ht="12.75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6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2:34" ht="12.75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6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2:34" ht="12.75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6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2:34" ht="12.75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6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2:34" ht="12.75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6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2:34" ht="12.75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6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2:34" ht="12.75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6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2:34" ht="12.75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6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2:34" ht="12.75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6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2:34" ht="12.75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6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2:34" ht="12.75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6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2:34" ht="12.75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6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2:34" ht="12.75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6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2:34" ht="12.75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6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2:34" ht="12.75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6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2:34" ht="12.75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6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2:34" ht="12.75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6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2:34" ht="12.75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6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2:34" ht="12.75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6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2:34" ht="12.75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6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2:34" ht="12.75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6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2:34" ht="12.75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6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2:34" ht="12.75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6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2:34" ht="12.75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6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2:34" ht="12.75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6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2:34" ht="12.75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6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2:34" ht="12.75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6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2:34" ht="12.75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6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2:34" ht="12.75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6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2:34" ht="12.75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6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2:34" ht="12.75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6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2:34" ht="12.75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6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2:34" ht="12.75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6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2:34" ht="12.75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6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2:34" ht="12.75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6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2:34" ht="12.75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6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2:34" ht="12.75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6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2:34" ht="12.75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6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2:34" ht="12.75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6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2:34" ht="12.75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6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2:34" ht="12.75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6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2:34" ht="12.75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6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2:34" ht="12.75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6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2:34" ht="12.75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6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2:34" ht="12.75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6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2:34" ht="12.75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6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2:34" ht="12.75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6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2:34" ht="12.75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6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2:34" ht="12.75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6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2:34" ht="12.75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6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2:34" ht="12.75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6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2:34" ht="12.75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6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2:34" ht="12.75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6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2:34" ht="12.75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6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2:34" ht="12.75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6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2:34" ht="12.75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6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2:34" ht="12.75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6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2:34" ht="12.75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6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2:34" ht="12.75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6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2:34" ht="12.75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6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2:34" ht="12.75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6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2:34" ht="12.75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6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2:34" ht="12.75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6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2:34" ht="12.75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6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2:34" ht="12.75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6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2:34" ht="12.75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6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2:34" ht="12.75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6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2:34" ht="12.75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6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2:34" ht="12.75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6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2:34" ht="12.75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6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2:34" ht="12.75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6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2:34" ht="12.75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6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2:34" ht="12.75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6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2:34" ht="12.75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6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2:34" ht="12.75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6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2:34" ht="12.75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6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2:34" ht="12.75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6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2:34" ht="12.75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6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2:34" ht="12.75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6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2:34" ht="12.75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6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2:34" ht="12.75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6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2:34" ht="12.75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6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2:34" ht="12.75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6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2:34" ht="12.75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6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2:34" ht="12.75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6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2:34" ht="12.75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6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2:34" ht="12.75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6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2:34" ht="12.75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6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2:34" ht="12.75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6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2:34" ht="12.75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6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2:34" ht="12.75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6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2:34" ht="12.75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6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2:34" ht="12.75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6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2:34" ht="12.75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6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2:34" ht="12.75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6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2:34" ht="12.75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6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2:34" ht="12.75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6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2:34" ht="12.75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6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2:34" ht="12.75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6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2:34" ht="12.75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6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2:34" ht="12.75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6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2:34" ht="12.75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6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2:34" ht="12.75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6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2:34" ht="12.75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6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2:34" ht="12.75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6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2:34" ht="12.75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6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2:34" ht="12.75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6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2:34" ht="12.75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6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2:34" ht="12.75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6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2:34" ht="12.75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6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2:34" ht="12.75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6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2:34" ht="12.75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6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2:34" ht="12.75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6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2:34" ht="12.75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6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2:34" ht="12.75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6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2:34" ht="12.75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6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2:34" ht="12.75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6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2:34" ht="12.75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6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2:34" ht="12.75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6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2:34" ht="12.75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6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2:34" ht="12.75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6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2:34" ht="12.75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6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2:34" ht="12.75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6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2:34" ht="12.75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6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2:34" ht="12.75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6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2:34" ht="12.75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6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2:34" ht="12.75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6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2:34" ht="12.75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6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2:34" ht="12.75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6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2:34" ht="12.75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6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2:34" ht="12.75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6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2:34" ht="12.75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6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2:34" ht="12.75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6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2:34" ht="12.75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6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2:34" ht="12.75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6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2:34" ht="12.75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6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2:34" ht="12.75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6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2:34" ht="12.75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6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2:34" ht="12.75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6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2:34" ht="12.75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6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2:34" ht="12.75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6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2:34" ht="12.75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6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2:34" ht="12.75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6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2:34" ht="12.75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6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2:34" ht="12.75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6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2:34" ht="12.75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6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2:34" ht="12.75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6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2:34" ht="12.75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6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2:34" ht="12.75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6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2:34" ht="12.75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6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2:34" ht="12.75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6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2:34" ht="12.75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6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2:34" ht="12.75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6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2:34" ht="12.75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6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2:34" ht="12.75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6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2:34" ht="12.75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6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2:34" ht="12.75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6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2:34" ht="12.75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6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2:34" ht="12.75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6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2:34" ht="12.75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6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2:34" ht="12.75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6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2:34" ht="12.75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6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2:34" ht="12.75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6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2:34" ht="12.75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6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2:34" ht="12.75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6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2:34" ht="12.75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6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2:34" ht="12.75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6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2:34" ht="12.75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6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2:34" ht="12.75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6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2:34" ht="12.75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6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2:34" ht="12.75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6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2:34" ht="12.75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6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2:34" ht="12.75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6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2:34" ht="12.75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6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2:34" ht="12.75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6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2:34" ht="12.75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6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2:34" ht="12.75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6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2:34" ht="12.75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6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2:34" ht="12.75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6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2:34" ht="12.75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6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2:34" ht="12.75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6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2:34" ht="12.75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6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2:34" ht="12.75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6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2:34" ht="12.75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6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2:34" ht="12.75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6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2:34" ht="12.75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6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2:34" ht="12.75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6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2:34" ht="12.75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6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2:34" ht="12.75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6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2:34" ht="12.75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6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2:34" ht="12.75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6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2:34" ht="12.75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6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2:34" ht="12.75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6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2:34" ht="12.75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6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2:34" ht="12.75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6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2:34" ht="12.75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6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2:34" ht="12.75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6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2:34" ht="12.75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6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2:34" ht="12.75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6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2:34" ht="12.75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6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2:34" ht="12.75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6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2:34" ht="12.75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6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2:34" ht="12.75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6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2:34" ht="12.75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6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2:34" ht="12.75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6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2:34" ht="12.75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6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2:34" ht="12.75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6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2:34" ht="12.75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6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2:34" ht="12.75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6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2:34" ht="12.75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6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2:34" ht="12.75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6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2:34" ht="12.75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6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2:34" ht="12.75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6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2:34" ht="12.75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6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2:34" ht="12.75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6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2:34" ht="12.75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6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2:34" ht="12.75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6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2:34" ht="12.75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6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2:34" ht="12.75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6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2:34" ht="12.75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6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2:34" ht="12.75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6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2:34" ht="12.75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6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2:34" ht="12.75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6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2:34" ht="12.75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6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2:34" ht="12.75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6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2:34" ht="12.75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6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2:34" ht="12.75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6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2:34" ht="12.75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6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2:34" ht="12.75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6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2:34" ht="12.75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6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2:34" ht="12.75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6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2:34" ht="12.75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6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2:34" ht="12.75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6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2:34" ht="12.75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6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2:34" ht="12.75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6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2:34" ht="12.75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6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2:34" ht="12.75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6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2:34" ht="12.75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6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2:34" ht="12.75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6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2:34" ht="12.75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6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2:34" ht="12.75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6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2:34" ht="12.75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6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2:34" ht="12.75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6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2:34" ht="12.75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6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2:34" ht="12.75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6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2:34" ht="12.75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6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2:34" ht="12.75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6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2:34" ht="12.75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6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2:34" ht="12.75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6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2:34" ht="12.75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6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2:34" ht="12.75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6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2:34" ht="12.75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6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2:34" ht="12.75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6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2:34" ht="12.75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6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2:34" ht="12.75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6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2:34" ht="12.75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6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2:34" ht="12.75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6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2:34" ht="12.75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6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2:34" ht="12.75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6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2:34" ht="12.75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6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2:34" ht="12.75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6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2:34" ht="12.75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6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2:34" ht="12.75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6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2:34" ht="12.75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6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2:34" ht="12.75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6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2:34" ht="12.75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6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2:34" ht="12.75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6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2:34" ht="12.75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6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2:34" ht="12.75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6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2:34" ht="12.75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6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2:34" ht="12.75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6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2:34" ht="12.75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6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2:34" ht="12.75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6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2:34" ht="12.75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6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2:34" ht="12.75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6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2:34" ht="12.75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6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2:34" ht="12.75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6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2:34" ht="12.75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6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2:34" ht="12.75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6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2:34" ht="12.75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6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2:34" ht="12.75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6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2:34" ht="12.75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6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2:34" ht="12.75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6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2:34" ht="12.75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6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2:34" ht="12.75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6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2:34" ht="12.75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6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2:34" ht="12.75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6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2:34" ht="12.75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6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2:34" ht="12.75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6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2:34" ht="12.75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6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2:34" ht="12.75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6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2:34" ht="12.75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6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2:34" ht="12.75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6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2:34" ht="12.75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6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2:34" ht="12.75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6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2:34" ht="12.75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6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2:34" ht="12.75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6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2:34" ht="12.75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6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2:34" ht="12.75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6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2:34" ht="12.75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6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2:34" ht="12.75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6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2:34" ht="12.75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6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2:34" ht="12.75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6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2:34" ht="12.75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6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2:34" ht="12.75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6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2:34" ht="12.75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6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2:34" ht="12.75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6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2:34" ht="12.75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6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2:34" ht="12.75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6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2:34" ht="12.75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6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2:34" ht="12.75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6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2:34" ht="12.75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6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2:34" ht="12.75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6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2:34" ht="12.75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6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2:34" ht="12.75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6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2:34" ht="12.75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6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2:34" ht="12.75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6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2:34" ht="12.75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6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2:34" ht="12.75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6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2:34" ht="12.75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6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2:34" ht="12.75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6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2:34" ht="12.75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6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2:34" ht="12.75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6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2:34" ht="12.75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6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2:34" ht="12.75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6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2:34" ht="12.75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6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2:34" ht="12.75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6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2:34" ht="12.75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6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2:34" ht="12.75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6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2:34" ht="12.75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6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2:34" ht="12.75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6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2:34" ht="12.75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6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2:34" ht="12.75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6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2:34" ht="12.75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6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2:34" ht="12.75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6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2:34" ht="12.75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6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2:34" ht="12.75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6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2:34" ht="12.75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6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2:34" ht="12.75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6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2:34" ht="12.75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6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2:34" ht="12.75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6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2:34" ht="12.75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6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2:34" ht="12.75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6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2:34" ht="12.75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6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2:34" ht="12.75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6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2:34" ht="12.75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6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2:34" ht="12.75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6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2:34" ht="12.75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6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2:34" ht="12.75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6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2:34" ht="12.75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6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2:34" ht="12.75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6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2:34" ht="12.75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6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2:34" ht="12.75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6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2:34" ht="12.75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6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2:34" ht="12.75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6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2:34" ht="12.75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6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2:34" ht="12.75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6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2:34" ht="12.75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6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2:34" ht="12.75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6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2:34" ht="12.75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6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2:34" ht="12.75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6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2:34" ht="12.75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6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2:34" ht="12.75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6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2:34" ht="12.75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6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2:34" ht="12.75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6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2:34" ht="12.75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6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2:34" ht="12.75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6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2:34" ht="12.75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6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2:34" ht="12.75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6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2:34" ht="12.75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6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2:34" ht="12.75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6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2:34" ht="12.75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6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2:34" ht="12.75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6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2:34" ht="12.75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6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2:34" ht="12.75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6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2:34" ht="12.75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6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2:34" ht="12.75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6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2:34" ht="12.75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6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2:34" ht="12.75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6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2:34" ht="12.75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6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2:34" ht="12.75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6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2:34" ht="12.75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6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2:34" ht="12.75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6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2:34" ht="12.75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6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2:34" ht="12.75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6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2:34" ht="12.75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6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2:34" ht="12.75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6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2:34" ht="12.75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6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2:34" ht="12.75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6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2:34" ht="12.75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6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2:34" ht="12.75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6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2:34" ht="12.75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6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2:34" ht="12.75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6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2:34" ht="12.75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6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2:34" ht="12.75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6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2:34" ht="12.75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6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2:34" ht="12.75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6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2:34" ht="12.75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6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2:34" ht="12.75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6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2:34" ht="12.75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6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2:34" ht="12.75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6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2:34" ht="12.75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6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2:34" ht="12.75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6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2:34" ht="12.75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6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2:34" ht="12.75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6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2:34" ht="12.75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6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2:34" ht="12.75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6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2:34" ht="12.75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6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2:34" ht="12.75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6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2:34" ht="12.75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6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2:34" ht="12.75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6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2:34" ht="12.75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6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2:34" ht="12.75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6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2:34" ht="12.75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6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2:34" ht="12.75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6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2:34" ht="12.75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6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2:34" ht="12.75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6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2:34" ht="12.75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6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2:34" ht="12.75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6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2:34" ht="12.75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6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2:34" ht="12.75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6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2:34" ht="12.75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6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2:34" ht="12.75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6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2:34" ht="12.75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6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2:34" ht="12.75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6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2:34" ht="12.75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6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2:34" ht="12.75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6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2:34" ht="12.75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6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2:34" ht="12.75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6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2:34" ht="12.75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6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2:34" ht="12.75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6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2:34" ht="12.75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6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2:34" ht="12.75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6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2:34" ht="12.75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6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2:34" ht="12.75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6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2:34" ht="12.75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6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2:34" ht="12.75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6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2:34" ht="12.75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6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2:34" ht="12.75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6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2:34" ht="12.75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6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2:34" ht="12.75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6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2:34" ht="12.75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6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2:34" ht="12.75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6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2:34" ht="12.75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6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2:34" ht="12.75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6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2:34" ht="12.75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6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2:34" ht="12.75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6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2:34" ht="12.75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6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2:34" ht="12.75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6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2:34" ht="12.75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6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2:34" ht="12.75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6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2:34" ht="12.75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6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2:34" ht="12.75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6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2:34" ht="12.75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6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2:34" ht="12.75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6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2:34" ht="12.75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6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2:34" ht="12.75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6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2:34" ht="12.75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6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2:34" ht="12.75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6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2:34" ht="12.75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6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2:34" ht="12.75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6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2:34" ht="12.75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6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2:34" ht="12.75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6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2:34" ht="12.75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6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2:34" ht="12.75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6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2:34" ht="12.75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6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2:34" ht="12.75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6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2:34" ht="12.75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6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2:34" ht="12.75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6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2:34" ht="12.75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6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2:34" ht="12.75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6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2:34" ht="12.75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6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2:34" ht="12.75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6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2:34" ht="12.75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6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2:34" ht="12.75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6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2:34" ht="12.75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6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2:34" ht="12.75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6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2:34" ht="12.75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6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2:34" ht="12.75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6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2:34" ht="12.75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6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2:34" ht="12.75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6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2:34" ht="12.75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6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2:34" ht="12.75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6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2:34" ht="12.75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6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2:34" ht="12.75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6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2:34" ht="12.75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6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2:34" ht="12.75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6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2:34" ht="12.75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6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2:34" ht="12.75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6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2:34" ht="12.75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6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2:34" ht="12.75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6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2:34" ht="12.75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6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2:34" ht="12.75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6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2:34" ht="12.75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6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2:34" ht="12.75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6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2:34" ht="12.75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6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2:34" ht="12.75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6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2:34" ht="12.75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6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2:34" ht="12.75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6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2:34" ht="12.75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6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2:34" ht="12.75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6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2:34" ht="12.75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6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2:34" ht="12.75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6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2:34" ht="12.75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6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2:34" ht="12.75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6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2:34" ht="12.75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6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2:34" ht="12.75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6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2:34" ht="12.75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6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2:34" ht="12.75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6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2:34" ht="12.75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6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2:34" ht="12.75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6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2:34" ht="12.75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6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2:34" ht="12.75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6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2:34" ht="12.75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6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2:34" ht="12.75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6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2:34" ht="12.75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6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2:34" ht="12.75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6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2:34" ht="12.75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6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2:34" ht="12.75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6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2:34" ht="12.75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6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2:34" ht="12.75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6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2:34" ht="12.75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6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2:34" ht="12.75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6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2:34" ht="12.75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6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2:34" ht="12.75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6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2:34" ht="12.75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6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2:34" ht="12.75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6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2:34" ht="12.75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6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2:34" ht="12.75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6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2:34" ht="12.75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6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2:34" ht="12.75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6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2:34" ht="12.75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6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2:34" ht="12.75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6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2:34" ht="12.75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6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2:34" ht="12.75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6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2:34" ht="12.75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6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2:34" ht="12.75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6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2:34" ht="12.75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6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2:34" ht="12.75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6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2:34" ht="12.75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6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2:34" ht="12.75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6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2:34" ht="12.75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6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2:34" ht="12.75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6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2:34" ht="12.75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6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2:34" ht="12.75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6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2:34" ht="12.75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6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2:34" ht="12.75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6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2:34" ht="12.75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6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2:34" ht="12.75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6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2:34" ht="12.75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6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2:34" ht="12.75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6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2:34" ht="12.75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6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2:34" ht="12.75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6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2:34" ht="12.75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6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2:34" ht="12.75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6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2:34" ht="12.75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6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2:34" ht="12.75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6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2:34" ht="12.75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6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2:34" ht="12.75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6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2:34" ht="12.75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6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2:34" ht="12.75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6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2:34" ht="12.75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6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2:34" ht="12.75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6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2:34" ht="12.75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6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2:34" ht="12.75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6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2:34" ht="12.75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6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2:34" ht="12.75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6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2:34" ht="12.75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6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2:34" ht="12.75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6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2:34" ht="12.75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6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2:34" ht="12.75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6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2:34" ht="12.75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6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2:34" ht="12.75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6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2:34" ht="12.75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6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2:34" ht="12.75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6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2:34" ht="12.75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6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2:34" ht="12.75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6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2:34" ht="12.75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6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2:34" ht="12.75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6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2:34" ht="12.75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6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2:34" ht="12.75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6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2:34" ht="12.75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6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2:34" ht="12.75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6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2:34" ht="12.75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6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2:34" ht="12.75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6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2:34" ht="12.75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6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2:34" ht="12.75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6"/>
      <c r="Z940" s="2"/>
      <c r="AA940" s="2"/>
      <c r="AB940" s="2"/>
      <c r="AC940" s="2"/>
      <c r="AD940" s="2"/>
      <c r="AE940" s="2"/>
      <c r="AF940" s="2"/>
      <c r="AG940" s="2"/>
      <c r="AH940" s="2"/>
    </row>
  </sheetData>
  <mergeCells count="9">
    <mergeCell ref="B61:Z61"/>
    <mergeCell ref="B71:D71"/>
    <mergeCell ref="T12:T13"/>
    <mergeCell ref="T6:T7"/>
    <mergeCell ref="T9:T10"/>
    <mergeCell ref="B21:Z21"/>
    <mergeCell ref="B24:B57"/>
    <mergeCell ref="B58:D58"/>
    <mergeCell ref="B63:B70"/>
  </mergeCells>
  <conditionalFormatting sqref="W7">
    <cfRule type="cellIs" dxfId="37" priority="11" operator="greaterThan">
      <formula>1</formula>
    </cfRule>
    <cfRule type="cellIs" dxfId="36" priority="12" operator="greaterThan">
      <formula>1</formula>
    </cfRule>
  </conditionalFormatting>
  <conditionalFormatting sqref="Z7 W7">
    <cfRule type="cellIs" dxfId="35" priority="10" operator="greaterThan">
      <formula>0.99</formula>
    </cfRule>
  </conditionalFormatting>
  <conditionalFormatting sqref="Z7 W7">
    <cfRule type="cellIs" dxfId="34" priority="9" operator="lessThan">
      <formula>0.99</formula>
    </cfRule>
  </conditionalFormatting>
  <conditionalFormatting sqref="W10">
    <cfRule type="cellIs" dxfId="33" priority="7" operator="greaterThan">
      <formula>1</formula>
    </cfRule>
    <cfRule type="cellIs" dxfId="32" priority="8" operator="greaterThan">
      <formula>1</formula>
    </cfRule>
  </conditionalFormatting>
  <conditionalFormatting sqref="Z10 W10">
    <cfRule type="cellIs" dxfId="31" priority="6" operator="greaterThan">
      <formula>0.99</formula>
    </cfRule>
  </conditionalFormatting>
  <conditionalFormatting sqref="Z10 W10">
    <cfRule type="cellIs" dxfId="30" priority="5" operator="lessThan">
      <formula>0.99</formula>
    </cfRule>
  </conditionalFormatting>
  <conditionalFormatting sqref="W13">
    <cfRule type="cellIs" dxfId="29" priority="3" operator="greaterThan">
      <formula>1</formula>
    </cfRule>
    <cfRule type="cellIs" dxfId="28" priority="4" operator="greaterThan">
      <formula>1</formula>
    </cfRule>
  </conditionalFormatting>
  <conditionalFormatting sqref="Z13 W13">
    <cfRule type="cellIs" dxfId="27" priority="2" operator="greaterThan">
      <formula>0.99</formula>
    </cfRule>
  </conditionalFormatting>
  <conditionalFormatting sqref="Z13 W13">
    <cfRule type="cellIs" dxfId="26" priority="1" operator="lessThan">
      <formula>0.99</formula>
    </cfRule>
  </conditionalFormatting>
  <pageMargins left="0.7" right="0.7" top="0.75" bottom="0.75" header="0.3" footer="0.3"/>
  <pageSetup paperSize="9" scale="53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2:AI930"/>
  <sheetViews>
    <sheetView tabSelected="1" zoomScale="60" zoomScaleNormal="60" workbookViewId="0">
      <selection activeCell="S77" sqref="S77"/>
    </sheetView>
  </sheetViews>
  <sheetFormatPr defaultColWidth="14.42578125" defaultRowHeight="15.75" customHeight="1" x14ac:dyDescent="0.2"/>
  <cols>
    <col min="1" max="1" width="2.28515625" style="4" customWidth="1"/>
    <col min="2" max="2" width="9.7109375" style="4" customWidth="1"/>
    <col min="3" max="3" width="14.42578125" style="4"/>
    <col min="4" max="4" width="11.42578125" style="4" customWidth="1"/>
    <col min="5" max="5" width="12.7109375" style="4" customWidth="1"/>
    <col min="6" max="6" width="11.42578125" style="4" customWidth="1"/>
    <col min="7" max="7" width="11.7109375" style="4" customWidth="1"/>
    <col min="8" max="8" width="13.28515625" style="4" customWidth="1"/>
    <col min="9" max="9" width="9.5703125" style="4" customWidth="1"/>
    <col min="10" max="10" width="7.7109375" style="4" customWidth="1"/>
    <col min="11" max="11" width="10" style="4" customWidth="1"/>
    <col min="12" max="16" width="6" style="4" customWidth="1"/>
    <col min="17" max="17" width="6.42578125" style="4" customWidth="1"/>
    <col min="18" max="18" width="8.5703125" style="4" customWidth="1"/>
    <col min="19" max="19" width="10.7109375" style="4" customWidth="1"/>
    <col min="20" max="20" width="11.28515625" style="4" customWidth="1"/>
    <col min="21" max="23" width="11.7109375" style="4" customWidth="1"/>
    <col min="24" max="24" width="13.28515625" style="4" bestFit="1" customWidth="1"/>
    <col min="25" max="25" width="11.7109375" style="4" customWidth="1"/>
    <col min="26" max="26" width="10.7109375" style="4" customWidth="1"/>
    <col min="27" max="16384" width="14.42578125" style="4"/>
  </cols>
  <sheetData>
    <row r="2" spans="1:34" x14ac:dyDescent="0.25">
      <c r="B2" s="5" t="s">
        <v>260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T2" s="2"/>
      <c r="U2" s="2"/>
      <c r="V2" s="2"/>
      <c r="W2" s="2"/>
      <c r="X2" s="2"/>
      <c r="Y2" s="2"/>
      <c r="Z2" s="6"/>
      <c r="AA2" s="2"/>
      <c r="AB2" s="2"/>
      <c r="AC2" s="2"/>
      <c r="AD2" s="2"/>
      <c r="AE2" s="2"/>
      <c r="AF2" s="2"/>
      <c r="AG2" s="2"/>
      <c r="AH2" s="2"/>
    </row>
    <row r="3" spans="1:34" ht="15.75" customHeight="1" x14ac:dyDescent="0.2">
      <c r="B3" s="7"/>
      <c r="C3" s="2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T3" s="2"/>
      <c r="U3" s="2"/>
      <c r="V3" s="2"/>
      <c r="W3" s="2"/>
      <c r="X3" s="2"/>
      <c r="Y3" s="2"/>
      <c r="Z3" s="6"/>
      <c r="AA3" s="2"/>
      <c r="AB3" s="2"/>
      <c r="AC3" s="2"/>
      <c r="AD3" s="2"/>
      <c r="AE3" s="2"/>
      <c r="AF3" s="2"/>
      <c r="AG3" s="2"/>
      <c r="AH3" s="2"/>
    </row>
    <row r="4" spans="1:34" ht="15.75" customHeight="1" x14ac:dyDescent="0.2">
      <c r="B4" s="7" t="s">
        <v>46</v>
      </c>
      <c r="C4" s="2"/>
      <c r="D4" s="84" t="s">
        <v>3</v>
      </c>
      <c r="E4" s="7"/>
      <c r="F4" s="2"/>
      <c r="G4" s="7"/>
      <c r="H4" s="7"/>
      <c r="I4" s="2"/>
      <c r="J4" s="8"/>
      <c r="K4" s="7"/>
      <c r="L4" s="2"/>
      <c r="M4" s="2"/>
      <c r="N4" s="2"/>
      <c r="X4" s="2"/>
      <c r="Y4" s="2"/>
      <c r="Z4" s="6"/>
      <c r="AA4" s="2"/>
      <c r="AB4" s="2"/>
      <c r="AC4" s="2"/>
      <c r="AD4" s="2"/>
      <c r="AE4" s="2"/>
      <c r="AF4" s="2"/>
      <c r="AG4" s="2"/>
      <c r="AH4" s="2"/>
    </row>
    <row r="5" spans="1:34" ht="15.75" customHeight="1" x14ac:dyDescent="0.2">
      <c r="A5" s="34"/>
      <c r="B5" s="7" t="s">
        <v>47</v>
      </c>
      <c r="C5" s="2"/>
      <c r="D5" s="8">
        <v>57</v>
      </c>
      <c r="E5" s="34"/>
      <c r="F5" s="64"/>
      <c r="G5" s="34"/>
      <c r="H5" s="34"/>
      <c r="I5" s="7"/>
      <c r="J5" s="2"/>
      <c r="K5" s="2"/>
      <c r="L5" s="2"/>
      <c r="M5" s="2"/>
      <c r="N5" s="2"/>
      <c r="X5" s="2"/>
      <c r="Y5" s="2"/>
      <c r="Z5" s="6"/>
      <c r="AA5" s="2"/>
      <c r="AB5" s="2"/>
      <c r="AC5" s="2"/>
      <c r="AD5" s="2"/>
      <c r="AE5" s="2"/>
      <c r="AF5" s="2"/>
      <c r="AG5" s="2"/>
      <c r="AH5" s="2"/>
    </row>
    <row r="6" spans="1:34" ht="25.5" x14ac:dyDescent="0.2">
      <c r="A6" s="34"/>
      <c r="B6" s="7" t="s">
        <v>48</v>
      </c>
      <c r="C6" s="2"/>
      <c r="D6" s="8">
        <v>38</v>
      </c>
      <c r="E6" s="1"/>
      <c r="F6" s="1"/>
      <c r="G6" s="34"/>
      <c r="H6" s="34"/>
      <c r="I6" s="7"/>
      <c r="J6" s="2"/>
      <c r="K6" s="2"/>
      <c r="L6" s="2"/>
      <c r="M6" s="2"/>
      <c r="N6" s="2"/>
      <c r="T6" s="359" t="s">
        <v>153</v>
      </c>
      <c r="U6" s="36" t="s">
        <v>53</v>
      </c>
      <c r="V6" s="37" t="s">
        <v>54</v>
      </c>
      <c r="W6" s="37" t="s">
        <v>55</v>
      </c>
      <c r="X6" s="37" t="s">
        <v>56</v>
      </c>
      <c r="Y6" s="37" t="s">
        <v>57</v>
      </c>
      <c r="Z6" s="38" t="s">
        <v>58</v>
      </c>
      <c r="AA6" s="2"/>
      <c r="AB6" s="2"/>
      <c r="AC6" s="2"/>
      <c r="AD6" s="2"/>
      <c r="AE6" s="2"/>
      <c r="AF6" s="2"/>
      <c r="AG6" s="2"/>
      <c r="AH6" s="2"/>
    </row>
    <row r="7" spans="1:34" ht="15.75" customHeight="1" x14ac:dyDescent="0.2">
      <c r="A7" s="34"/>
      <c r="B7" s="7" t="s">
        <v>49</v>
      </c>
      <c r="C7" s="2"/>
      <c r="D7" s="8">
        <f>D5-D6</f>
        <v>19</v>
      </c>
      <c r="E7" s="1"/>
      <c r="F7" s="1"/>
      <c r="G7" s="34"/>
      <c r="H7" s="34"/>
      <c r="I7" s="7"/>
      <c r="J7" s="2"/>
      <c r="K7" s="2"/>
      <c r="L7" s="2"/>
      <c r="M7" s="2"/>
      <c r="N7" s="2"/>
      <c r="T7" s="359"/>
      <c r="U7" s="93">
        <v>258043.30468272979</v>
      </c>
      <c r="V7" s="40">
        <f>SUM(G20:G20)</f>
        <v>143740</v>
      </c>
      <c r="W7" s="41">
        <f>V7/U7</f>
        <v>0.55703828540225697</v>
      </c>
      <c r="X7" s="67">
        <v>549.4</v>
      </c>
      <c r="Y7" s="92">
        <f>SUM(X20:X20)</f>
        <v>549.4</v>
      </c>
      <c r="Z7" s="41">
        <f>Y7/X7</f>
        <v>1</v>
      </c>
      <c r="AA7" s="2"/>
      <c r="AB7" s="2"/>
      <c r="AC7" s="2"/>
      <c r="AD7" s="2"/>
      <c r="AE7" s="2"/>
      <c r="AF7" s="2"/>
      <c r="AG7" s="2"/>
      <c r="AH7" s="2"/>
    </row>
    <row r="8" spans="1:34" ht="15.75" customHeight="1" x14ac:dyDescent="0.2">
      <c r="A8" s="34"/>
      <c r="B8" s="7" t="s">
        <v>50</v>
      </c>
      <c r="C8" s="2"/>
      <c r="D8" s="91">
        <f>X7+X10</f>
        <v>31315.7</v>
      </c>
      <c r="E8" s="1"/>
      <c r="F8" s="1"/>
      <c r="G8" s="34"/>
      <c r="H8" s="34"/>
      <c r="I8" s="7"/>
      <c r="J8" s="2"/>
      <c r="K8" s="2"/>
      <c r="L8" s="2"/>
      <c r="M8" s="2"/>
      <c r="N8" s="2"/>
      <c r="U8" s="44"/>
      <c r="V8" s="48"/>
      <c r="W8" s="45"/>
      <c r="X8" s="46"/>
      <c r="Y8" s="47"/>
      <c r="Z8" s="45"/>
      <c r="AA8" s="2"/>
      <c r="AB8" s="2"/>
      <c r="AC8" s="2"/>
      <c r="AD8" s="2"/>
      <c r="AE8" s="2"/>
      <c r="AF8" s="2"/>
      <c r="AG8" s="2"/>
      <c r="AH8" s="2"/>
    </row>
    <row r="9" spans="1:34" ht="25.5" x14ac:dyDescent="0.2">
      <c r="B9" s="35" t="s">
        <v>51</v>
      </c>
      <c r="C9" s="1"/>
      <c r="D9" s="101" t="s">
        <v>52</v>
      </c>
      <c r="E9" s="1"/>
      <c r="F9" s="1"/>
      <c r="I9" s="7"/>
      <c r="J9" s="2"/>
      <c r="K9" s="2"/>
      <c r="L9" s="2"/>
      <c r="M9" s="2"/>
      <c r="N9" s="2"/>
      <c r="T9" s="357" t="s">
        <v>154</v>
      </c>
      <c r="U9" s="37" t="s">
        <v>53</v>
      </c>
      <c r="V9" s="37" t="s">
        <v>54</v>
      </c>
      <c r="W9" s="37" t="s">
        <v>55</v>
      </c>
      <c r="X9" s="37" t="s">
        <v>56</v>
      </c>
      <c r="Y9" s="37" t="s">
        <v>57</v>
      </c>
      <c r="Z9" s="38" t="s">
        <v>58</v>
      </c>
      <c r="AA9" s="2"/>
      <c r="AB9" s="2"/>
      <c r="AC9" s="2"/>
      <c r="AD9" s="2"/>
      <c r="AE9" s="2"/>
      <c r="AF9" s="2"/>
      <c r="AG9" s="2"/>
      <c r="AH9" s="2"/>
    </row>
    <row r="10" spans="1:34" ht="15.75" customHeight="1" x14ac:dyDescent="0.2">
      <c r="B10" s="35" t="s">
        <v>59</v>
      </c>
      <c r="C10" s="1"/>
      <c r="D10" s="90">
        <v>43482</v>
      </c>
      <c r="E10" s="1"/>
      <c r="F10" s="1"/>
      <c r="I10" s="7"/>
      <c r="J10" s="2"/>
      <c r="K10" s="2"/>
      <c r="L10" s="2"/>
      <c r="M10" s="2"/>
      <c r="N10" s="2"/>
      <c r="T10" s="357"/>
      <c r="U10" s="93">
        <v>14450378.094030343</v>
      </c>
      <c r="V10" s="40">
        <f>G59-G20</f>
        <v>19353221</v>
      </c>
      <c r="W10" s="41">
        <f>V10/U10</f>
        <v>1.3392882092126774</v>
      </c>
      <c r="X10" s="42">
        <v>30766.3</v>
      </c>
      <c r="Y10" s="92">
        <f>X59-X20</f>
        <v>22777.386750000001</v>
      </c>
      <c r="Z10" s="41">
        <f>Y10/X10</f>
        <v>0.74033558633959895</v>
      </c>
      <c r="AA10" s="2"/>
      <c r="AB10" s="2"/>
      <c r="AC10" s="2"/>
      <c r="AD10" s="2"/>
      <c r="AE10" s="2"/>
      <c r="AF10" s="2"/>
      <c r="AG10" s="2"/>
      <c r="AH10" s="2"/>
    </row>
    <row r="11" spans="1:34" ht="15.75" customHeight="1" thickBot="1" x14ac:dyDescent="0.25">
      <c r="B11" s="35"/>
      <c r="C11" s="1"/>
      <c r="D11" s="33"/>
      <c r="E11" s="1"/>
      <c r="F11" s="1"/>
      <c r="I11" s="7"/>
      <c r="J11" s="2"/>
      <c r="K11" s="2"/>
      <c r="L11" s="2"/>
      <c r="M11" s="2"/>
      <c r="N11" s="2"/>
      <c r="T11" s="48"/>
      <c r="U11" s="48"/>
      <c r="V11" s="49"/>
      <c r="W11" s="50"/>
      <c r="X11" s="51"/>
      <c r="Y11" s="49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.75" customHeight="1" x14ac:dyDescent="0.2">
      <c r="B12" s="63" t="s">
        <v>60</v>
      </c>
      <c r="C12" s="52"/>
      <c r="D12" s="53"/>
      <c r="E12" s="52"/>
      <c r="F12" s="52"/>
      <c r="G12" s="54"/>
      <c r="H12" s="54"/>
      <c r="I12" s="55"/>
      <c r="J12" s="52"/>
      <c r="K12" s="52"/>
      <c r="L12" s="52"/>
      <c r="M12" s="52"/>
      <c r="N12" s="52"/>
      <c r="O12" s="54"/>
      <c r="P12" s="54"/>
      <c r="Q12" s="54"/>
      <c r="R12" s="54"/>
      <c r="S12" s="54"/>
      <c r="T12" s="54"/>
      <c r="U12" s="54"/>
      <c r="V12" s="54"/>
      <c r="W12" s="52"/>
      <c r="X12" s="52"/>
      <c r="Y12" s="53"/>
      <c r="Z12" s="86"/>
      <c r="AA12" s="1"/>
      <c r="AB12" s="2"/>
      <c r="AC12" s="2"/>
      <c r="AD12" s="2"/>
      <c r="AE12" s="2"/>
      <c r="AF12" s="2"/>
      <c r="AG12" s="2"/>
      <c r="AH12" s="2"/>
    </row>
    <row r="13" spans="1:34" ht="15.75" customHeight="1" x14ac:dyDescent="0.2">
      <c r="B13" s="65"/>
      <c r="C13" s="1"/>
      <c r="D13" s="33"/>
      <c r="E13" s="1"/>
      <c r="F13" s="1"/>
      <c r="G13" s="34"/>
      <c r="H13" s="34"/>
      <c r="I13" s="35"/>
      <c r="J13" s="1"/>
      <c r="K13" s="1"/>
      <c r="L13" s="1"/>
      <c r="M13" s="1"/>
      <c r="N13" s="1"/>
      <c r="O13" s="34"/>
      <c r="P13" s="34"/>
      <c r="Q13" s="34"/>
      <c r="R13" s="34"/>
      <c r="S13" s="34"/>
      <c r="T13" s="34"/>
      <c r="U13" s="34"/>
      <c r="V13" s="34"/>
      <c r="W13" s="1"/>
      <c r="X13" s="1"/>
      <c r="Y13" s="33"/>
      <c r="Z13" s="87"/>
      <c r="AA13" s="1"/>
      <c r="AB13" s="2"/>
      <c r="AC13" s="2"/>
      <c r="AD13" s="2"/>
      <c r="AE13" s="2"/>
      <c r="AF13" s="2"/>
      <c r="AG13" s="2"/>
      <c r="AH13" s="2"/>
    </row>
    <row r="14" spans="1:34" ht="12.75" x14ac:dyDescent="0.2">
      <c r="B14" s="57"/>
      <c r="C14" s="1"/>
      <c r="D14" s="33"/>
      <c r="E14" s="1"/>
      <c r="F14" s="1"/>
      <c r="G14" s="34"/>
      <c r="H14" s="34"/>
      <c r="I14" s="35"/>
      <c r="J14" s="1"/>
      <c r="K14" s="1"/>
      <c r="L14" s="1"/>
      <c r="M14" s="1"/>
      <c r="N14" s="1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87"/>
      <c r="AA14" s="1"/>
      <c r="AB14" s="2"/>
      <c r="AC14" s="2"/>
      <c r="AD14" s="2"/>
      <c r="AE14" s="2"/>
      <c r="AF14" s="2"/>
      <c r="AG14" s="2"/>
      <c r="AH14" s="2"/>
    </row>
    <row r="15" spans="1:34" ht="15.75" customHeight="1" x14ac:dyDescent="0.2">
      <c r="B15" s="57"/>
      <c r="C15" s="1"/>
      <c r="D15" s="33"/>
      <c r="E15" s="1"/>
      <c r="F15" s="1"/>
      <c r="G15" s="34"/>
      <c r="H15" s="34"/>
      <c r="I15" s="35"/>
      <c r="J15" s="1"/>
      <c r="K15" s="1"/>
      <c r="L15" s="1"/>
      <c r="M15" s="1"/>
      <c r="N15" s="1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87"/>
      <c r="AA15" s="1"/>
      <c r="AB15" s="2"/>
      <c r="AC15" s="2"/>
      <c r="AD15" s="2"/>
      <c r="AE15" s="2"/>
      <c r="AF15" s="2"/>
      <c r="AG15" s="2"/>
      <c r="AH15" s="2"/>
    </row>
    <row r="16" spans="1:34" ht="15.75" customHeight="1" thickBot="1" x14ac:dyDescent="0.25"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1"/>
      <c r="P16" s="61"/>
      <c r="Q16" s="61"/>
      <c r="R16" s="61"/>
      <c r="S16" s="61"/>
      <c r="T16" s="61"/>
      <c r="U16" s="61"/>
      <c r="V16" s="61"/>
      <c r="W16" s="60"/>
      <c r="X16" s="60"/>
      <c r="Y16" s="88"/>
      <c r="Z16" s="89"/>
      <c r="AA16" s="1"/>
      <c r="AB16" s="2"/>
      <c r="AC16" s="2"/>
      <c r="AD16" s="2"/>
      <c r="AE16" s="2"/>
      <c r="AF16" s="2"/>
      <c r="AG16" s="2"/>
      <c r="AH16" s="2"/>
    </row>
    <row r="17" spans="2:35" ht="15.75" customHeight="1" x14ac:dyDescent="0.2">
      <c r="B17" s="9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6"/>
      <c r="Z17" s="2"/>
      <c r="AA17" s="2"/>
      <c r="AB17" s="2"/>
      <c r="AC17" s="2"/>
      <c r="AD17" s="2"/>
      <c r="AE17" s="2"/>
      <c r="AF17" s="2"/>
      <c r="AG17" s="2"/>
      <c r="AH17" s="2"/>
    </row>
    <row r="18" spans="2:35" ht="15.75" customHeight="1" x14ac:dyDescent="0.2">
      <c r="B18" s="378" t="s">
        <v>61</v>
      </c>
      <c r="C18" s="378"/>
      <c r="D18" s="378"/>
      <c r="E18" s="378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378"/>
      <c r="Q18" s="378"/>
      <c r="R18" s="378"/>
      <c r="S18" s="378"/>
      <c r="T18" s="378"/>
      <c r="U18" s="378"/>
      <c r="V18" s="378"/>
      <c r="W18" s="378"/>
      <c r="X18" s="378"/>
      <c r="Y18" s="378"/>
      <c r="Z18" s="378"/>
      <c r="AA18" s="2"/>
      <c r="AB18" s="2"/>
      <c r="AC18" s="2"/>
      <c r="AD18" s="2"/>
      <c r="AE18" s="2"/>
      <c r="AF18" s="2"/>
      <c r="AG18" s="2"/>
      <c r="AH18" s="2"/>
      <c r="AI18" s="2"/>
    </row>
    <row r="19" spans="2:35" ht="25.5" x14ac:dyDescent="0.2">
      <c r="B19" s="85" t="s">
        <v>159</v>
      </c>
      <c r="C19" s="13" t="s">
        <v>62</v>
      </c>
      <c r="D19" s="13" t="s">
        <v>63</v>
      </c>
      <c r="E19" s="13" t="s">
        <v>64</v>
      </c>
      <c r="F19" s="13" t="s">
        <v>65</v>
      </c>
      <c r="G19" s="97" t="s">
        <v>66</v>
      </c>
      <c r="H19" s="13" t="s">
        <v>67</v>
      </c>
      <c r="I19" s="13" t="s">
        <v>68</v>
      </c>
      <c r="J19" s="13" t="s">
        <v>21</v>
      </c>
      <c r="K19" s="13" t="s">
        <v>69</v>
      </c>
      <c r="L19" s="13" t="s">
        <v>70</v>
      </c>
      <c r="M19" s="13" t="s">
        <v>71</v>
      </c>
      <c r="N19" s="13" t="s">
        <v>72</v>
      </c>
      <c r="O19" s="13" t="s">
        <v>73</v>
      </c>
      <c r="P19" s="13" t="s">
        <v>74</v>
      </c>
      <c r="Q19" s="13" t="s">
        <v>75</v>
      </c>
      <c r="R19" s="13" t="s">
        <v>76</v>
      </c>
      <c r="S19" s="13" t="s">
        <v>77</v>
      </c>
      <c r="T19" s="13" t="s">
        <v>78</v>
      </c>
      <c r="U19" s="13" t="s">
        <v>79</v>
      </c>
      <c r="V19" s="13" t="s">
        <v>80</v>
      </c>
      <c r="W19" s="13" t="s">
        <v>81</v>
      </c>
      <c r="X19" s="14" t="s">
        <v>82</v>
      </c>
      <c r="Y19" s="14" t="s">
        <v>83</v>
      </c>
      <c r="Z19" s="15" t="s">
        <v>84</v>
      </c>
      <c r="AA19" s="2"/>
      <c r="AB19" s="2"/>
      <c r="AC19" s="2"/>
      <c r="AD19" s="2"/>
      <c r="AE19" s="2"/>
      <c r="AF19" s="2"/>
      <c r="AG19" s="2"/>
      <c r="AH19" s="2"/>
    </row>
    <row r="20" spans="2:35" ht="15.75" customHeight="1" x14ac:dyDescent="0.2">
      <c r="B20" s="314" t="s">
        <v>153</v>
      </c>
      <c r="C20" s="10" t="s">
        <v>160</v>
      </c>
      <c r="D20" s="12" t="str">
        <f>HYPERLINK("https://www.facebook.com/ZespriKiwifruitVietnam/videos/1427657907361810/","7 Apr")</f>
        <v>7 Apr</v>
      </c>
      <c r="E20" s="79">
        <v>8401</v>
      </c>
      <c r="F20" s="79">
        <v>141979</v>
      </c>
      <c r="G20" s="94">
        <v>143740</v>
      </c>
      <c r="H20" s="25">
        <f>E20/G20</f>
        <v>5.8445804925560042E-2</v>
      </c>
      <c r="I20" s="3">
        <v>8339</v>
      </c>
      <c r="J20" s="25">
        <f>I20/G20</f>
        <v>5.8014470571865866E-2</v>
      </c>
      <c r="K20" s="3">
        <v>2202</v>
      </c>
      <c r="L20" s="25">
        <f>K20/G20</f>
        <v>1.5319326561847781E-2</v>
      </c>
      <c r="M20" s="25">
        <f>11571/G20</f>
        <v>8.0499513009600662E-2</v>
      </c>
      <c r="N20" s="25">
        <f>5469/G20</f>
        <v>3.8047864199248646E-2</v>
      </c>
      <c r="O20" s="25">
        <f>3095/G20</f>
        <v>2.1531932656184777E-2</v>
      </c>
      <c r="P20" s="25">
        <f>2472/G20</f>
        <v>1.7197718102128844E-2</v>
      </c>
      <c r="Q20" s="3">
        <v>2</v>
      </c>
      <c r="R20" s="3" t="s">
        <v>34</v>
      </c>
      <c r="S20" s="3">
        <v>0</v>
      </c>
      <c r="T20" s="3">
        <v>59</v>
      </c>
      <c r="U20" s="3">
        <v>1</v>
      </c>
      <c r="V20" s="3">
        <v>342</v>
      </c>
      <c r="W20" s="22">
        <f>549.4</f>
        <v>549.4</v>
      </c>
      <c r="X20" s="22">
        <v>549.4</v>
      </c>
      <c r="Y20" s="22">
        <f>W20-X20</f>
        <v>0</v>
      </c>
      <c r="Z20" s="10">
        <v>5</v>
      </c>
      <c r="AA20" s="11"/>
      <c r="AB20" s="11"/>
      <c r="AC20" s="11"/>
      <c r="AD20" s="11"/>
      <c r="AE20" s="11"/>
      <c r="AF20" s="11"/>
      <c r="AG20" s="11"/>
      <c r="AH20" s="11"/>
    </row>
    <row r="21" spans="2:35" ht="15.75" customHeight="1" x14ac:dyDescent="0.2">
      <c r="B21" s="363" t="s">
        <v>161</v>
      </c>
      <c r="C21" s="10" t="s">
        <v>162</v>
      </c>
      <c r="D21" s="12" t="str">
        <f>HYPERLINK("https://www.facebook.com/ZespriKiwifruitVietnam/videos/1472686552858945/","24 Apr")</f>
        <v>24 Apr</v>
      </c>
      <c r="E21" s="3">
        <v>38214</v>
      </c>
      <c r="F21" s="3">
        <v>326523</v>
      </c>
      <c r="G21" s="94">
        <v>457457</v>
      </c>
      <c r="H21" s="25">
        <f t="shared" ref="H21:H57" si="0">E21/G21</f>
        <v>8.3535720297208266E-2</v>
      </c>
      <c r="I21" s="3">
        <v>38077</v>
      </c>
      <c r="J21" s="25">
        <f>I21/G21</f>
        <v>8.3236238597288931E-2</v>
      </c>
      <c r="K21" s="3">
        <v>3685</v>
      </c>
      <c r="L21" s="29">
        <f>K21/G21</f>
        <v>8.0554019284872682E-3</v>
      </c>
      <c r="M21" s="25">
        <v>8.009714574265997E-2</v>
      </c>
      <c r="N21" s="25">
        <v>2.5971839976216344E-2</v>
      </c>
      <c r="O21" s="25">
        <v>1.2348701626600971E-2</v>
      </c>
      <c r="P21" s="29">
        <v>7.6619223227538322E-3</v>
      </c>
      <c r="Q21" s="3">
        <v>30</v>
      </c>
      <c r="R21" s="3" t="s">
        <v>34</v>
      </c>
      <c r="S21" s="3">
        <v>1</v>
      </c>
      <c r="T21" s="3">
        <v>132</v>
      </c>
      <c r="U21" s="3">
        <v>4</v>
      </c>
      <c r="V21" s="3">
        <v>2891</v>
      </c>
      <c r="W21" s="22">
        <f t="shared" ref="W21:W30" si="1">549.4</f>
        <v>549.4</v>
      </c>
      <c r="X21" s="22">
        <f>1.41*389.6375</f>
        <v>549.38887499999998</v>
      </c>
      <c r="Y21" s="22">
        <f t="shared" ref="Y21:Y28" si="2">W21-X21</f>
        <v>1.1124999999992724E-2</v>
      </c>
      <c r="Z21" s="10">
        <v>3</v>
      </c>
      <c r="AA21" s="2"/>
      <c r="AB21" s="2"/>
      <c r="AC21" s="2"/>
      <c r="AD21" s="2"/>
      <c r="AE21" s="2"/>
      <c r="AF21" s="2"/>
      <c r="AG21" s="2"/>
      <c r="AH21" s="2"/>
      <c r="AI21" s="2"/>
    </row>
    <row r="22" spans="2:35" ht="15.75" customHeight="1" x14ac:dyDescent="0.2">
      <c r="B22" s="364"/>
      <c r="C22" s="10" t="s">
        <v>163</v>
      </c>
      <c r="D22" s="12" t="str">
        <f>HYPERLINK("https://www.facebook.com/ZespriKiwifruitVietnam/videos/1478647175596216/","30 Apr")</f>
        <v>30 Apr</v>
      </c>
      <c r="E22" s="3">
        <v>35299</v>
      </c>
      <c r="F22" s="3">
        <v>318396</v>
      </c>
      <c r="G22" s="94">
        <v>461957</v>
      </c>
      <c r="H22" s="25">
        <f>E22/G22</f>
        <v>7.6411873832412977E-2</v>
      </c>
      <c r="I22" s="3">
        <v>35194</v>
      </c>
      <c r="J22" s="25">
        <f>I22/G22</f>
        <v>7.6184579950081932E-2</v>
      </c>
      <c r="K22" s="3">
        <v>34018</v>
      </c>
      <c r="L22" s="29">
        <f>K22/G22</f>
        <v>7.3638888467974298E-2</v>
      </c>
      <c r="M22" s="25">
        <v>0.22039713653002335</v>
      </c>
      <c r="N22" s="25">
        <v>0.12331450762733329</v>
      </c>
      <c r="O22" s="25">
        <v>9.5331383656920454E-2</v>
      </c>
      <c r="P22" s="25">
        <v>7.2905053933591216E-2</v>
      </c>
      <c r="Q22" s="3">
        <v>50</v>
      </c>
      <c r="R22" s="3" t="s">
        <v>34</v>
      </c>
      <c r="S22" s="3">
        <v>1</v>
      </c>
      <c r="T22" s="3">
        <v>104</v>
      </c>
      <c r="U22" s="3">
        <v>0</v>
      </c>
      <c r="V22" s="3">
        <v>2799</v>
      </c>
      <c r="W22" s="22">
        <f t="shared" si="1"/>
        <v>549.4</v>
      </c>
      <c r="X22" s="22">
        <f>1.41*389.5625</f>
        <v>549.28312499999993</v>
      </c>
      <c r="Y22" s="22">
        <f t="shared" si="2"/>
        <v>0.11687500000005002</v>
      </c>
      <c r="Z22" s="10">
        <v>3</v>
      </c>
      <c r="AA22" s="2"/>
      <c r="AB22" s="2"/>
      <c r="AC22" s="2"/>
      <c r="AD22" s="2"/>
      <c r="AE22" s="2"/>
      <c r="AF22" s="2"/>
      <c r="AG22" s="2"/>
      <c r="AH22" s="2"/>
      <c r="AI22" s="2"/>
    </row>
    <row r="23" spans="2:35" ht="15.75" customHeight="1" x14ac:dyDescent="0.2">
      <c r="B23" s="364"/>
      <c r="C23" s="10" t="s">
        <v>235</v>
      </c>
      <c r="D23" s="12" t="str">
        <f>HYPERLINK("https://www.facebook.com/ZespriKiwifruitVietnam/videos/1492484770879123/","7 May")</f>
        <v>7 May</v>
      </c>
      <c r="E23" s="81">
        <v>10337</v>
      </c>
      <c r="F23" s="81">
        <v>205728</v>
      </c>
      <c r="G23" s="96">
        <v>310994</v>
      </c>
      <c r="H23" s="25">
        <f t="shared" si="0"/>
        <v>3.3238583381029863E-2</v>
      </c>
      <c r="I23" s="81">
        <v>10281</v>
      </c>
      <c r="J23" s="25">
        <f t="shared" ref="J23" si="3">I23/G23</f>
        <v>3.3058515598371675E-2</v>
      </c>
      <c r="K23" s="81">
        <v>2840</v>
      </c>
      <c r="L23" s="25">
        <f t="shared" ref="L23:L27" si="4">K23/G23</f>
        <v>9.1320089776651646E-3</v>
      </c>
      <c r="M23" s="83">
        <v>4.9483269773693384E-2</v>
      </c>
      <c r="N23" s="83">
        <v>2.0119359215933427E-2</v>
      </c>
      <c r="O23" s="83">
        <v>1.2222100747924397E-2</v>
      </c>
      <c r="P23" s="83">
        <v>8.9069242493424305E-3</v>
      </c>
      <c r="Q23" s="82">
        <v>21</v>
      </c>
      <c r="R23" s="82" t="s">
        <v>34</v>
      </c>
      <c r="S23" s="82">
        <v>3</v>
      </c>
      <c r="T23" s="82">
        <v>50</v>
      </c>
      <c r="U23" s="82">
        <v>3</v>
      </c>
      <c r="V23" s="81">
        <v>1250</v>
      </c>
      <c r="W23" s="22">
        <f t="shared" si="1"/>
        <v>549.4</v>
      </c>
      <c r="X23" s="76">
        <f>1.41*325.175</f>
        <v>458.49674999999996</v>
      </c>
      <c r="Y23" s="22">
        <f t="shared" si="2"/>
        <v>90.903250000000014</v>
      </c>
      <c r="Z23" s="82">
        <v>3</v>
      </c>
      <c r="AA23" s="2"/>
      <c r="AB23" s="2"/>
      <c r="AC23" s="2"/>
      <c r="AD23" s="2"/>
      <c r="AE23" s="2"/>
      <c r="AF23" s="2"/>
      <c r="AG23" s="2"/>
      <c r="AH23" s="2"/>
      <c r="AI23" s="2"/>
    </row>
    <row r="24" spans="2:35" ht="15.75" customHeight="1" x14ac:dyDescent="0.2">
      <c r="B24" s="364"/>
      <c r="C24" s="10" t="s">
        <v>261</v>
      </c>
      <c r="D24" s="12" t="str">
        <f>HYPERLINK("https://www.facebook.com/ZespriKiwifruitVietnam/posts/1499457676848499/","13 May")</f>
        <v>13 May</v>
      </c>
      <c r="E24" s="100">
        <v>1047</v>
      </c>
      <c r="F24" s="3">
        <v>300096</v>
      </c>
      <c r="G24" s="94">
        <v>305096</v>
      </c>
      <c r="H24" s="27">
        <f>E24/G24</f>
        <v>3.4317067414846476E-3</v>
      </c>
      <c r="I24" s="3" t="s">
        <v>34</v>
      </c>
      <c r="J24" s="3" t="s">
        <v>34</v>
      </c>
      <c r="K24" s="3" t="s">
        <v>34</v>
      </c>
      <c r="L24" s="3" t="s">
        <v>34</v>
      </c>
      <c r="M24" s="3" t="s">
        <v>34</v>
      </c>
      <c r="N24" s="3" t="s">
        <v>34</v>
      </c>
      <c r="O24" s="3" t="s">
        <v>34</v>
      </c>
      <c r="P24" s="3" t="s">
        <v>34</v>
      </c>
      <c r="Q24" s="3">
        <v>39</v>
      </c>
      <c r="R24" s="3">
        <v>705</v>
      </c>
      <c r="S24" s="3">
        <v>3</v>
      </c>
      <c r="T24" s="3">
        <v>313</v>
      </c>
      <c r="U24" s="3">
        <v>26</v>
      </c>
      <c r="V24" s="3">
        <v>1638</v>
      </c>
      <c r="W24" s="22">
        <f t="shared" si="1"/>
        <v>549.4</v>
      </c>
      <c r="X24" s="22">
        <f>1.41*389.6375</f>
        <v>549.38887499999998</v>
      </c>
      <c r="Y24" s="22">
        <f t="shared" si="2"/>
        <v>1.1124999999992724E-2</v>
      </c>
      <c r="Z24" s="10">
        <v>3</v>
      </c>
      <c r="AA24" s="2"/>
      <c r="AB24" s="2"/>
      <c r="AC24" s="2"/>
      <c r="AD24" s="2"/>
      <c r="AE24" s="2"/>
      <c r="AF24" s="2"/>
      <c r="AG24" s="2"/>
      <c r="AH24" s="2"/>
      <c r="AI24" s="2"/>
    </row>
    <row r="25" spans="2:35" ht="15.75" customHeight="1" x14ac:dyDescent="0.2">
      <c r="B25" s="364"/>
      <c r="C25" s="68" t="s">
        <v>262</v>
      </c>
      <c r="D25" s="12" t="str">
        <f>HYPERLINK("https://www.facebook.com/ZespriKiwifruitVietnam/posts/1492485380879062","21 May")</f>
        <v>21 May</v>
      </c>
      <c r="E25" s="3">
        <v>224</v>
      </c>
      <c r="F25" s="3">
        <v>477196</v>
      </c>
      <c r="G25" s="94">
        <v>627211</v>
      </c>
      <c r="H25" s="120">
        <f>E25/G25</f>
        <v>3.5713659358652832E-4</v>
      </c>
      <c r="I25" s="3" t="s">
        <v>34</v>
      </c>
      <c r="J25" s="3" t="s">
        <v>34</v>
      </c>
      <c r="K25" s="3" t="s">
        <v>34</v>
      </c>
      <c r="L25" s="3" t="s">
        <v>34</v>
      </c>
      <c r="M25" s="3" t="s">
        <v>34</v>
      </c>
      <c r="N25" s="3" t="s">
        <v>34</v>
      </c>
      <c r="O25" s="3" t="s">
        <v>34</v>
      </c>
      <c r="P25" s="3" t="s">
        <v>34</v>
      </c>
      <c r="Q25" s="3">
        <v>12</v>
      </c>
      <c r="R25" s="3">
        <v>183</v>
      </c>
      <c r="S25" s="3">
        <v>1</v>
      </c>
      <c r="T25" s="3">
        <v>40</v>
      </c>
      <c r="U25" s="3">
        <v>0</v>
      </c>
      <c r="V25" s="3">
        <v>432</v>
      </c>
      <c r="W25" s="22">
        <f t="shared" si="1"/>
        <v>549.4</v>
      </c>
      <c r="X25" s="22">
        <f>1.41*389.6375</f>
        <v>549.38887499999998</v>
      </c>
      <c r="Y25" s="22">
        <f>W25-X25</f>
        <v>1.1124999999992724E-2</v>
      </c>
      <c r="Z25" s="10">
        <v>4</v>
      </c>
      <c r="AA25" s="2"/>
      <c r="AB25" s="2"/>
      <c r="AC25" s="2"/>
      <c r="AD25" s="2"/>
      <c r="AE25" s="2"/>
      <c r="AF25" s="2"/>
      <c r="AG25" s="2"/>
      <c r="AH25" s="2"/>
      <c r="AI25" s="2"/>
    </row>
    <row r="26" spans="2:35" ht="15.75" customHeight="1" x14ac:dyDescent="0.2">
      <c r="B26" s="364"/>
      <c r="C26" s="68" t="s">
        <v>263</v>
      </c>
      <c r="D26" s="12" t="str">
        <f>HYPERLINK("https://www.facebook.com/ZespriKiwifruitVietnam/videos/1492487180878882/","29 May")</f>
        <v>29 May</v>
      </c>
      <c r="E26" s="3">
        <v>36611</v>
      </c>
      <c r="F26" s="3">
        <v>243840</v>
      </c>
      <c r="G26" s="94">
        <v>261580</v>
      </c>
      <c r="H26" s="25">
        <f t="shared" si="0"/>
        <v>0.13996100619313404</v>
      </c>
      <c r="I26" s="3">
        <v>36531</v>
      </c>
      <c r="J26" s="25">
        <f>I26/G26</f>
        <v>0.1396551724137931</v>
      </c>
      <c r="K26" s="3">
        <v>22070</v>
      </c>
      <c r="L26" s="25">
        <f t="shared" si="4"/>
        <v>8.4371893875678575E-2</v>
      </c>
      <c r="M26" s="25">
        <v>0.17966205367382829</v>
      </c>
      <c r="N26" s="25">
        <v>0.13069041975686216</v>
      </c>
      <c r="O26" s="25">
        <v>0.1053864974386421</v>
      </c>
      <c r="P26" s="25">
        <v>8.1485587583148555E-2</v>
      </c>
      <c r="Q26" s="3">
        <v>20</v>
      </c>
      <c r="R26" s="3" t="s">
        <v>34</v>
      </c>
      <c r="S26" s="3">
        <v>2</v>
      </c>
      <c r="T26" s="3">
        <v>76</v>
      </c>
      <c r="U26" s="3">
        <v>2</v>
      </c>
      <c r="V26" s="3">
        <v>2663</v>
      </c>
      <c r="W26" s="22">
        <f t="shared" si="1"/>
        <v>549.4</v>
      </c>
      <c r="X26" s="22">
        <v>524.50237500000003</v>
      </c>
      <c r="Y26" s="22">
        <f t="shared" si="2"/>
        <v>24.897624999999948</v>
      </c>
      <c r="Z26" s="10">
        <v>4</v>
      </c>
      <c r="AA26" s="2"/>
      <c r="AB26" s="2"/>
      <c r="AC26" s="2"/>
      <c r="AD26" s="2"/>
      <c r="AE26" s="2"/>
      <c r="AF26" s="2"/>
      <c r="AG26" s="2"/>
      <c r="AH26" s="2"/>
      <c r="AI26" s="2"/>
    </row>
    <row r="27" spans="2:35" ht="15.75" customHeight="1" x14ac:dyDescent="0.2">
      <c r="B27" s="364"/>
      <c r="C27" s="68">
        <v>43252</v>
      </c>
      <c r="D27" s="12" t="str">
        <f>HYPERLINK("https://www.facebook.com/ZespriKiwifruitVietnam/videos/1483876028406664/","1 Jun")</f>
        <v>1 Jun</v>
      </c>
      <c r="E27" s="3">
        <v>13227</v>
      </c>
      <c r="F27" s="3">
        <v>218944</v>
      </c>
      <c r="G27" s="94">
        <v>227161</v>
      </c>
      <c r="H27" s="25">
        <f t="shared" si="0"/>
        <v>5.8227424601934308E-2</v>
      </c>
      <c r="I27" s="3">
        <v>13176</v>
      </c>
      <c r="J27" s="25">
        <f>I27/G27</f>
        <v>5.8002914232636767E-2</v>
      </c>
      <c r="K27" s="3">
        <v>6792</v>
      </c>
      <c r="L27" s="25">
        <f t="shared" si="4"/>
        <v>2.9899498593508569E-2</v>
      </c>
      <c r="M27" s="25">
        <v>7.856542276182972E-2</v>
      </c>
      <c r="N27" s="25">
        <v>5.1360048599891704E-2</v>
      </c>
      <c r="O27" s="25">
        <v>3.9491814175848849E-2</v>
      </c>
      <c r="P27" s="25">
        <v>2.8719718613670481E-2</v>
      </c>
      <c r="Q27" s="3">
        <v>20</v>
      </c>
      <c r="R27" s="3" t="s">
        <v>34</v>
      </c>
      <c r="S27" s="3">
        <v>0</v>
      </c>
      <c r="T27" s="3">
        <v>50</v>
      </c>
      <c r="U27" s="3">
        <v>1</v>
      </c>
      <c r="V27" s="3">
        <v>1461</v>
      </c>
      <c r="W27" s="22">
        <f t="shared" si="1"/>
        <v>549.4</v>
      </c>
      <c r="X27" s="22">
        <v>346.29599999999999</v>
      </c>
      <c r="Y27" s="22">
        <f t="shared" si="2"/>
        <v>203.10399999999998</v>
      </c>
      <c r="Z27" s="10">
        <v>4</v>
      </c>
      <c r="AA27" s="2"/>
      <c r="AB27" s="2"/>
      <c r="AC27" s="2"/>
      <c r="AD27" s="2"/>
      <c r="AE27" s="2"/>
      <c r="AF27" s="2"/>
      <c r="AG27" s="2"/>
      <c r="AH27" s="2"/>
      <c r="AI27" s="2"/>
    </row>
    <row r="28" spans="2:35" ht="15.75" customHeight="1" x14ac:dyDescent="0.2">
      <c r="B28" s="364"/>
      <c r="C28" s="68" t="s">
        <v>239</v>
      </c>
      <c r="D28" s="12" t="str">
        <f>HYPERLINK("https://www.facebook.com/ZespriKiwifruitVietnam/posts/1493512424109691","12 Jun")</f>
        <v>12 Jun</v>
      </c>
      <c r="E28" s="3">
        <v>336</v>
      </c>
      <c r="F28" s="3">
        <v>345664</v>
      </c>
      <c r="G28" s="94">
        <v>469171</v>
      </c>
      <c r="H28" s="27">
        <f t="shared" si="0"/>
        <v>7.1615679570987973E-4</v>
      </c>
      <c r="I28" s="3" t="s">
        <v>34</v>
      </c>
      <c r="J28" s="3" t="s">
        <v>34</v>
      </c>
      <c r="K28" s="3" t="s">
        <v>34</v>
      </c>
      <c r="L28" s="3" t="s">
        <v>34</v>
      </c>
      <c r="M28" s="3" t="s">
        <v>34</v>
      </c>
      <c r="N28" s="3" t="s">
        <v>34</v>
      </c>
      <c r="O28" s="3" t="s">
        <v>34</v>
      </c>
      <c r="P28" s="3" t="s">
        <v>34</v>
      </c>
      <c r="Q28" s="3">
        <v>19</v>
      </c>
      <c r="R28" s="3">
        <v>291</v>
      </c>
      <c r="S28" s="3">
        <v>1</v>
      </c>
      <c r="T28" s="3">
        <v>42</v>
      </c>
      <c r="U28" s="3">
        <v>2</v>
      </c>
      <c r="V28" s="3">
        <v>675</v>
      </c>
      <c r="W28" s="22">
        <f t="shared" si="1"/>
        <v>549.4</v>
      </c>
      <c r="X28" s="22">
        <v>544.34812499999998</v>
      </c>
      <c r="Y28" s="22">
        <f t="shared" si="2"/>
        <v>5.0518749999999955</v>
      </c>
      <c r="Z28" s="10">
        <v>4</v>
      </c>
      <c r="AA28" s="2"/>
      <c r="AB28" s="2"/>
      <c r="AC28" s="2"/>
      <c r="AD28" s="2"/>
      <c r="AE28" s="2"/>
      <c r="AF28" s="2"/>
      <c r="AG28" s="2"/>
      <c r="AH28" s="2"/>
      <c r="AI28" s="2"/>
    </row>
    <row r="29" spans="2:35" ht="15.75" customHeight="1" x14ac:dyDescent="0.2">
      <c r="B29" s="364"/>
      <c r="C29" s="68" t="s">
        <v>264</v>
      </c>
      <c r="D29" s="12" t="str">
        <f>HYPERLINK("https://www.facebook.com/ZespriKiwifruitVietnam/posts/1483877015073232","18 Jun")</f>
        <v>18 Jun</v>
      </c>
      <c r="E29" s="3">
        <v>512</v>
      </c>
      <c r="F29" s="3">
        <v>315008</v>
      </c>
      <c r="G29" s="94">
        <v>465076</v>
      </c>
      <c r="H29" s="27">
        <f t="shared" si="0"/>
        <v>1.1008953375362307E-3</v>
      </c>
      <c r="I29" s="3" t="s">
        <v>34</v>
      </c>
      <c r="J29" s="3" t="s">
        <v>34</v>
      </c>
      <c r="K29" s="3" t="s">
        <v>34</v>
      </c>
      <c r="L29" s="3" t="s">
        <v>34</v>
      </c>
      <c r="M29" s="3" t="s">
        <v>34</v>
      </c>
      <c r="N29" s="3" t="s">
        <v>34</v>
      </c>
      <c r="O29" s="3" t="s">
        <v>34</v>
      </c>
      <c r="P29" s="3" t="s">
        <v>34</v>
      </c>
      <c r="Q29" s="3">
        <v>33</v>
      </c>
      <c r="R29" s="3">
        <v>417</v>
      </c>
      <c r="S29" s="3">
        <v>0</v>
      </c>
      <c r="T29" s="3">
        <v>94</v>
      </c>
      <c r="U29" s="3">
        <v>1</v>
      </c>
      <c r="V29" s="3">
        <v>844</v>
      </c>
      <c r="W29" s="22">
        <f t="shared" si="1"/>
        <v>549.4</v>
      </c>
      <c r="X29" s="22">
        <v>546.14587499999993</v>
      </c>
      <c r="Y29" s="22">
        <f>W29-X29</f>
        <v>3.2541250000000446</v>
      </c>
      <c r="Z29" s="10">
        <v>5</v>
      </c>
      <c r="AA29" s="2"/>
      <c r="AB29" s="2"/>
      <c r="AC29" s="2"/>
      <c r="AD29" s="2"/>
      <c r="AE29" s="2"/>
      <c r="AF29" s="2"/>
      <c r="AG29" s="2"/>
      <c r="AH29" s="2"/>
      <c r="AI29" s="2"/>
    </row>
    <row r="30" spans="2:35" ht="15.75" customHeight="1" x14ac:dyDescent="0.2">
      <c r="B30" s="364"/>
      <c r="C30" s="68" t="s">
        <v>240</v>
      </c>
      <c r="D30" s="12" t="str">
        <f>HYPERLINK("https://www.facebook.com/ZespriKiwifruitVietnam/videos/1492487697545497/","25 Jun")</f>
        <v>25 Jun</v>
      </c>
      <c r="E30" s="3">
        <v>28835</v>
      </c>
      <c r="F30" s="3">
        <v>284864</v>
      </c>
      <c r="G30" s="94">
        <v>428069</v>
      </c>
      <c r="H30" s="29">
        <f t="shared" si="0"/>
        <v>6.7360635785352355E-2</v>
      </c>
      <c r="I30" s="3">
        <v>28761</v>
      </c>
      <c r="J30" s="25">
        <f>I30/G30</f>
        <v>6.7187766458211173E-2</v>
      </c>
      <c r="K30" s="3">
        <v>3553</v>
      </c>
      <c r="L30" s="25">
        <f t="shared" ref="L30:L57" si="5">K30/G30</f>
        <v>8.3000637747652831E-3</v>
      </c>
      <c r="M30" s="25">
        <v>5.3617524277628142E-2</v>
      </c>
      <c r="N30" s="25">
        <v>2.334203130803679E-2</v>
      </c>
      <c r="O30" s="25">
        <v>1.3098355638927368E-2</v>
      </c>
      <c r="P30" s="25">
        <v>8.0617844319490553E-3</v>
      </c>
      <c r="Q30" s="3">
        <v>30</v>
      </c>
      <c r="R30" s="3">
        <v>0</v>
      </c>
      <c r="S30" s="3">
        <v>1</v>
      </c>
      <c r="T30" s="3">
        <v>70</v>
      </c>
      <c r="U30" s="3">
        <v>3</v>
      </c>
      <c r="V30" s="3">
        <v>1987</v>
      </c>
      <c r="W30" s="22">
        <f t="shared" si="1"/>
        <v>549.4</v>
      </c>
      <c r="X30" s="22">
        <v>549.38887499999998</v>
      </c>
      <c r="Y30" s="22">
        <f>W30-X30</f>
        <v>1.1124999999992724E-2</v>
      </c>
      <c r="Z30" s="10">
        <v>4</v>
      </c>
      <c r="AA30" s="2"/>
      <c r="AB30" s="2"/>
      <c r="AC30" s="2"/>
      <c r="AD30" s="2"/>
      <c r="AE30" s="2"/>
      <c r="AF30" s="2"/>
      <c r="AG30" s="2"/>
      <c r="AH30" s="2"/>
      <c r="AI30" s="2"/>
    </row>
    <row r="31" spans="2:35" ht="15.75" customHeight="1" x14ac:dyDescent="0.2">
      <c r="B31" s="364"/>
      <c r="C31" s="68" t="s">
        <v>95</v>
      </c>
      <c r="D31" s="12" t="str">
        <f>HYPERLINK("https://www.facebook.com/ZespriKiwifruitVietnam/videos/1555683871225879/","4 Jul")</f>
        <v>4 Jul</v>
      </c>
      <c r="E31" s="3">
        <v>40961</v>
      </c>
      <c r="F31" s="3">
        <v>302463</v>
      </c>
      <c r="G31" s="94">
        <v>470228</v>
      </c>
      <c r="H31" s="29">
        <f t="shared" si="0"/>
        <v>8.7108806791598964E-2</v>
      </c>
      <c r="I31" s="3">
        <v>40891</v>
      </c>
      <c r="J31" s="25">
        <f t="shared" ref="J31:J34" si="6">I31/G31</f>
        <v>8.6959942836241144E-2</v>
      </c>
      <c r="K31" s="3">
        <v>40891</v>
      </c>
      <c r="L31" s="25">
        <f t="shared" si="5"/>
        <v>8.6959942836241144E-2</v>
      </c>
      <c r="M31" s="25">
        <v>0.39169296596544656</v>
      </c>
      <c r="N31" s="25">
        <v>0.22466760805396532</v>
      </c>
      <c r="O31" s="25">
        <v>0.13820104289833868</v>
      </c>
      <c r="P31" s="25">
        <v>9.0600729858706847E-2</v>
      </c>
      <c r="Q31" s="3">
        <v>32</v>
      </c>
      <c r="R31" s="3" t="s">
        <v>34</v>
      </c>
      <c r="S31" s="3">
        <v>0</v>
      </c>
      <c r="T31" s="3">
        <v>70</v>
      </c>
      <c r="U31" s="3">
        <v>0</v>
      </c>
      <c r="V31" s="3">
        <v>1939</v>
      </c>
      <c r="W31" s="22">
        <v>585.41</v>
      </c>
      <c r="X31" s="22">
        <v>585.41437499999995</v>
      </c>
      <c r="Y31" s="22">
        <f t="shared" ref="Y31:Y33" si="7">W31-X31</f>
        <v>-4.3749999999818101E-3</v>
      </c>
      <c r="Z31" s="10">
        <v>4</v>
      </c>
      <c r="AA31" s="2"/>
      <c r="AB31" s="2"/>
      <c r="AC31" s="2"/>
      <c r="AD31" s="2"/>
      <c r="AE31" s="2"/>
      <c r="AF31" s="2"/>
      <c r="AG31" s="2"/>
      <c r="AH31" s="2"/>
      <c r="AI31" s="2"/>
    </row>
    <row r="32" spans="2:35" ht="15.75" customHeight="1" x14ac:dyDescent="0.2">
      <c r="B32" s="364"/>
      <c r="C32" s="68" t="s">
        <v>265</v>
      </c>
      <c r="D32" s="12" t="str">
        <f>HYPERLINK("https://www.facebook.com/348092255318386/posts/1555684934559106/","9 Jul")</f>
        <v>9 Jul</v>
      </c>
      <c r="E32" s="3">
        <v>473</v>
      </c>
      <c r="F32" s="3">
        <v>324229</v>
      </c>
      <c r="G32" s="94">
        <v>507427</v>
      </c>
      <c r="H32" s="27">
        <f t="shared" si="0"/>
        <v>9.3215378763841891E-4</v>
      </c>
      <c r="I32" s="3" t="s">
        <v>34</v>
      </c>
      <c r="J32" s="3" t="s">
        <v>34</v>
      </c>
      <c r="K32" s="3" t="s">
        <v>34</v>
      </c>
      <c r="L32" s="3" t="s">
        <v>34</v>
      </c>
      <c r="M32" s="3" t="s">
        <v>34</v>
      </c>
      <c r="N32" s="3" t="s">
        <v>34</v>
      </c>
      <c r="O32" s="3" t="s">
        <v>34</v>
      </c>
      <c r="P32" s="3" t="s">
        <v>34</v>
      </c>
      <c r="Q32" s="3">
        <v>32</v>
      </c>
      <c r="R32" s="3">
        <v>418</v>
      </c>
      <c r="S32" s="3">
        <v>2</v>
      </c>
      <c r="T32" s="3">
        <v>52</v>
      </c>
      <c r="U32" s="3">
        <v>1</v>
      </c>
      <c r="V32" s="3">
        <v>970</v>
      </c>
      <c r="W32" s="22">
        <v>585.41</v>
      </c>
      <c r="X32" s="22">
        <v>585.41437499999995</v>
      </c>
      <c r="Y32" s="22">
        <f t="shared" si="7"/>
        <v>-4.3749999999818101E-3</v>
      </c>
      <c r="Z32" s="10">
        <v>4</v>
      </c>
      <c r="AA32" s="2"/>
      <c r="AB32" s="2"/>
      <c r="AC32" s="2"/>
      <c r="AD32" s="2"/>
      <c r="AE32" s="2"/>
      <c r="AF32" s="2"/>
      <c r="AG32" s="2"/>
      <c r="AH32" s="2"/>
      <c r="AI32" s="2"/>
    </row>
    <row r="33" spans="2:35" ht="15.75" customHeight="1" x14ac:dyDescent="0.2">
      <c r="B33" s="364"/>
      <c r="C33" s="68" t="s">
        <v>172</v>
      </c>
      <c r="D33" s="12" t="str">
        <f>HYPERLINK("https://www.facebook.com/348092255318386/posts/1552761801518086/","12 Jul")</f>
        <v>12 Jul</v>
      </c>
      <c r="E33" s="3">
        <v>622</v>
      </c>
      <c r="F33" s="3">
        <v>350208</v>
      </c>
      <c r="G33" s="94">
        <v>513671</v>
      </c>
      <c r="H33" s="27">
        <f t="shared" si="0"/>
        <v>1.2108917965000944E-3</v>
      </c>
      <c r="I33" s="3" t="s">
        <v>34</v>
      </c>
      <c r="J33" s="3" t="s">
        <v>34</v>
      </c>
      <c r="K33" s="3" t="s">
        <v>34</v>
      </c>
      <c r="L33" s="3" t="s">
        <v>34</v>
      </c>
      <c r="M33" s="3" t="s">
        <v>34</v>
      </c>
      <c r="N33" s="3" t="s">
        <v>34</v>
      </c>
      <c r="O33" s="3" t="s">
        <v>34</v>
      </c>
      <c r="P33" s="3" t="s">
        <v>34</v>
      </c>
      <c r="Q33" s="3">
        <v>26</v>
      </c>
      <c r="R33" s="3">
        <v>508</v>
      </c>
      <c r="S33" s="3">
        <v>1</v>
      </c>
      <c r="T33" s="3">
        <v>110</v>
      </c>
      <c r="U33" s="3">
        <v>3</v>
      </c>
      <c r="V33" s="3">
        <v>1076</v>
      </c>
      <c r="W33" s="22">
        <v>585.41</v>
      </c>
      <c r="X33" s="22">
        <v>585.41437499999995</v>
      </c>
      <c r="Y33" s="22">
        <f t="shared" si="7"/>
        <v>-4.3749999999818101E-3</v>
      </c>
      <c r="Z33" s="10">
        <v>5</v>
      </c>
      <c r="AA33" s="2"/>
      <c r="AB33" s="2"/>
      <c r="AC33" s="2"/>
      <c r="AD33" s="2"/>
      <c r="AE33" s="2"/>
      <c r="AF33" s="2"/>
      <c r="AG33" s="2"/>
      <c r="AH33" s="2"/>
      <c r="AI33" s="2"/>
    </row>
    <row r="34" spans="2:35" ht="15.75" customHeight="1" x14ac:dyDescent="0.2">
      <c r="B34" s="364"/>
      <c r="C34" s="68" t="s">
        <v>97</v>
      </c>
      <c r="D34" s="12" t="str">
        <f>HYPERLINK("https://www.facebook.com/ZespriKiwifruitVietnam/videos/1555685691225697/","16 Jul")</f>
        <v>16 Jul</v>
      </c>
      <c r="E34" s="3">
        <v>19455</v>
      </c>
      <c r="F34" s="3">
        <v>314752</v>
      </c>
      <c r="G34" s="94">
        <v>475037</v>
      </c>
      <c r="H34" s="29">
        <f t="shared" si="0"/>
        <v>4.0954704580906331E-2</v>
      </c>
      <c r="I34" s="3">
        <v>19413</v>
      </c>
      <c r="J34" s="25">
        <f t="shared" si="6"/>
        <v>4.0866290415272913E-2</v>
      </c>
      <c r="K34" s="3">
        <v>6971</v>
      </c>
      <c r="L34" s="25">
        <f t="shared" si="5"/>
        <v>1.4674646395964946E-2</v>
      </c>
      <c r="M34" s="25">
        <v>4.5933264145740227E-2</v>
      </c>
      <c r="N34" s="25">
        <v>2.5088572048072046E-2</v>
      </c>
      <c r="O34" s="25">
        <v>1.827015579839044E-2</v>
      </c>
      <c r="P34" s="25">
        <v>1.4523079254879093E-2</v>
      </c>
      <c r="Q34" s="3">
        <v>26</v>
      </c>
      <c r="R34" s="3" t="s">
        <v>34</v>
      </c>
      <c r="S34" s="3">
        <v>0</v>
      </c>
      <c r="T34" s="3">
        <v>39</v>
      </c>
      <c r="U34" s="3">
        <v>3</v>
      </c>
      <c r="V34" s="3">
        <v>1404</v>
      </c>
      <c r="W34" s="22">
        <v>585.41</v>
      </c>
      <c r="X34" s="22">
        <v>574.92750000000001</v>
      </c>
      <c r="Y34" s="22">
        <f>W34-X34</f>
        <v>10.482499999999959</v>
      </c>
      <c r="Z34" s="10">
        <v>5</v>
      </c>
      <c r="AA34" s="2"/>
      <c r="AB34" s="2"/>
      <c r="AC34" s="2"/>
      <c r="AD34" s="2"/>
      <c r="AE34" s="2"/>
      <c r="AF34" s="2"/>
      <c r="AG34" s="2"/>
      <c r="AH34" s="2"/>
      <c r="AI34" s="2"/>
    </row>
    <row r="35" spans="2:35" ht="15.75" customHeight="1" x14ac:dyDescent="0.2">
      <c r="B35" s="364"/>
      <c r="C35" s="68" t="s">
        <v>266</v>
      </c>
      <c r="D35" s="12" t="str">
        <f>HYPERLINK("https://www.facebook.com/ZespriKiwifruitVietnam/posts/1552762511518015","27 Jul")</f>
        <v>27 Jul</v>
      </c>
      <c r="E35" s="3">
        <v>426</v>
      </c>
      <c r="F35" s="3">
        <v>435456</v>
      </c>
      <c r="G35" s="94">
        <v>575081</v>
      </c>
      <c r="H35" s="27">
        <f t="shared" si="0"/>
        <v>7.4076521394377491E-4</v>
      </c>
      <c r="I35" s="3" t="s">
        <v>34</v>
      </c>
      <c r="J35" s="3" t="s">
        <v>34</v>
      </c>
      <c r="K35" s="3" t="s">
        <v>34</v>
      </c>
      <c r="L35" s="3" t="s">
        <v>34</v>
      </c>
      <c r="M35" s="3" t="s">
        <v>34</v>
      </c>
      <c r="N35" s="3" t="s">
        <v>34</v>
      </c>
      <c r="O35" s="3" t="s">
        <v>34</v>
      </c>
      <c r="P35" s="3" t="s">
        <v>34</v>
      </c>
      <c r="Q35" s="3">
        <v>20</v>
      </c>
      <c r="R35" s="3">
        <v>374</v>
      </c>
      <c r="S35" s="3">
        <v>2</v>
      </c>
      <c r="T35" s="3">
        <v>50</v>
      </c>
      <c r="U35" s="3">
        <v>0</v>
      </c>
      <c r="V35" s="3">
        <v>782</v>
      </c>
      <c r="W35" s="22">
        <v>585.41</v>
      </c>
      <c r="X35" s="22">
        <v>585.41437499999995</v>
      </c>
      <c r="Y35" s="22">
        <f>W35-X35</f>
        <v>-4.3749999999818101E-3</v>
      </c>
      <c r="Z35" s="10">
        <v>4</v>
      </c>
      <c r="AA35" s="2"/>
      <c r="AB35" s="2"/>
      <c r="AC35" s="2"/>
      <c r="AD35" s="2"/>
      <c r="AE35" s="2"/>
      <c r="AF35" s="2"/>
      <c r="AG35" s="2"/>
      <c r="AH35" s="2"/>
      <c r="AI35" s="2"/>
    </row>
    <row r="36" spans="2:35" ht="15.75" customHeight="1" x14ac:dyDescent="0.2">
      <c r="B36" s="364"/>
      <c r="C36" s="68" t="s">
        <v>100</v>
      </c>
      <c r="D36" s="12" t="str">
        <f>HYPERLINK("https://www.facebook.com/ZespriKiwifruitVietnam/videos/1583387991788800/","2 Aug")</f>
        <v>2 Aug</v>
      </c>
      <c r="E36" s="3">
        <v>33321</v>
      </c>
      <c r="F36" s="3">
        <v>312960</v>
      </c>
      <c r="G36" s="94">
        <v>463232</v>
      </c>
      <c r="H36" s="29">
        <f t="shared" si="0"/>
        <v>7.1931559132357006E-2</v>
      </c>
      <c r="I36" s="3">
        <v>33245</v>
      </c>
      <c r="J36" s="25">
        <f t="shared" ref="J36:J57" si="8">I36/G36</f>
        <v>7.1767494473611498E-2</v>
      </c>
      <c r="K36" s="3">
        <v>17349</v>
      </c>
      <c r="L36" s="25">
        <f t="shared" si="5"/>
        <v>3.7452075849682236E-2</v>
      </c>
      <c r="M36" s="25">
        <v>7.5195582343188724E-2</v>
      </c>
      <c r="N36" s="25">
        <v>5.1447222989776178E-2</v>
      </c>
      <c r="O36" s="25">
        <v>4.3056179193147276E-2</v>
      </c>
      <c r="P36" s="25">
        <v>3.7499568250898035E-2</v>
      </c>
      <c r="Q36" s="3">
        <v>38</v>
      </c>
      <c r="R36" s="3" t="s">
        <v>34</v>
      </c>
      <c r="S36" s="3">
        <v>4</v>
      </c>
      <c r="T36" s="3">
        <v>68</v>
      </c>
      <c r="U36" s="3">
        <v>4</v>
      </c>
      <c r="V36" s="3">
        <v>1967</v>
      </c>
      <c r="W36" s="22">
        <v>585.41</v>
      </c>
      <c r="X36" s="22">
        <v>585.41437499999995</v>
      </c>
      <c r="Y36" s="22">
        <f t="shared" ref="Y36:Y46" si="9">W36-X36</f>
        <v>-4.3749999999818101E-3</v>
      </c>
      <c r="Z36" s="10">
        <v>4</v>
      </c>
      <c r="AA36" s="2"/>
      <c r="AB36" s="2"/>
      <c r="AC36" s="2"/>
      <c r="AD36" s="2"/>
      <c r="AE36" s="2"/>
      <c r="AF36" s="2"/>
      <c r="AG36" s="2"/>
      <c r="AH36" s="2"/>
      <c r="AI36" s="2"/>
    </row>
    <row r="37" spans="2:35" ht="15.75" customHeight="1" x14ac:dyDescent="0.2">
      <c r="B37" s="364"/>
      <c r="C37" s="68" t="s">
        <v>267</v>
      </c>
      <c r="D37" s="12" t="str">
        <f>HYPERLINK("https://www.facebook.com/ZespriKiwifruitVietnam/videos/1583391365121796/","7 Aug")</f>
        <v>7 Aug</v>
      </c>
      <c r="E37" s="3">
        <v>24760</v>
      </c>
      <c r="F37" s="3">
        <v>290944</v>
      </c>
      <c r="G37" s="94">
        <v>432110</v>
      </c>
      <c r="H37" s="29">
        <f t="shared" si="0"/>
        <v>5.7300224479877808E-2</v>
      </c>
      <c r="I37" s="3">
        <v>24679</v>
      </c>
      <c r="J37" s="25">
        <f t="shared" si="8"/>
        <v>5.7112772210779664E-2</v>
      </c>
      <c r="K37" s="3">
        <v>5791</v>
      </c>
      <c r="L37" s="25">
        <f t="shared" si="5"/>
        <v>1.3401680127745249E-2</v>
      </c>
      <c r="M37" s="25">
        <v>5.5640924764527554E-2</v>
      </c>
      <c r="N37" s="25">
        <v>3.3415102635902895E-2</v>
      </c>
      <c r="O37" s="25">
        <v>2.0029622086968596E-2</v>
      </c>
      <c r="P37" s="25">
        <v>1.3121658836870241E-2</v>
      </c>
      <c r="Q37" s="3">
        <v>29</v>
      </c>
      <c r="R37" s="3" t="s">
        <v>34</v>
      </c>
      <c r="S37" s="3">
        <v>2</v>
      </c>
      <c r="T37" s="3">
        <v>78</v>
      </c>
      <c r="U37" s="3">
        <v>1</v>
      </c>
      <c r="V37" s="3">
        <v>1568</v>
      </c>
      <c r="W37" s="22">
        <v>585.41</v>
      </c>
      <c r="X37" s="22">
        <v>585.41437499999995</v>
      </c>
      <c r="Y37" s="22">
        <f t="shared" si="9"/>
        <v>-4.3749999999818101E-3</v>
      </c>
      <c r="Z37" s="10">
        <v>4</v>
      </c>
      <c r="AA37" s="2"/>
      <c r="AB37" s="2"/>
      <c r="AC37" s="2"/>
      <c r="AD37" s="2"/>
      <c r="AE37" s="2"/>
      <c r="AF37" s="2"/>
      <c r="AG37" s="2"/>
      <c r="AH37" s="2"/>
      <c r="AI37" s="2"/>
    </row>
    <row r="38" spans="2:35" ht="15.75" customHeight="1" x14ac:dyDescent="0.2">
      <c r="B38" s="364"/>
      <c r="C38" s="68" t="s">
        <v>268</v>
      </c>
      <c r="D38" s="12" t="str">
        <f>HYPERLINK("https://www.facebook.com/ZespriKiwifruitVietnam/videos/1599339516860314/","13 Aug")</f>
        <v>13 Aug</v>
      </c>
      <c r="E38" s="3">
        <v>39531</v>
      </c>
      <c r="F38" s="3">
        <v>310656</v>
      </c>
      <c r="G38" s="94">
        <v>450937</v>
      </c>
      <c r="H38" s="29">
        <f t="shared" si="0"/>
        <v>8.7664130466118331E-2</v>
      </c>
      <c r="I38" s="3">
        <v>39477</v>
      </c>
      <c r="J38" s="25">
        <f t="shared" si="8"/>
        <v>8.7544379813588147E-2</v>
      </c>
      <c r="K38" s="3">
        <v>10380</v>
      </c>
      <c r="L38" s="25">
        <f t="shared" si="5"/>
        <v>2.3018736541911621E-2</v>
      </c>
      <c r="M38" s="25">
        <v>7.5995094658455623E-2</v>
      </c>
      <c r="N38" s="25">
        <v>4.1413767333352551E-2</v>
      </c>
      <c r="O38" s="25">
        <v>2.9866699782896501E-2</v>
      </c>
      <c r="P38" s="25">
        <v>2.2566345187908732E-2</v>
      </c>
      <c r="Q38" s="3">
        <v>21</v>
      </c>
      <c r="R38" s="3" t="s">
        <v>34</v>
      </c>
      <c r="S38" s="3">
        <v>3</v>
      </c>
      <c r="T38" s="3">
        <v>7</v>
      </c>
      <c r="U38" s="3">
        <v>44</v>
      </c>
      <c r="V38" s="3">
        <v>1004</v>
      </c>
      <c r="W38" s="22">
        <v>585.41</v>
      </c>
      <c r="X38" s="22">
        <v>585.41437499999995</v>
      </c>
      <c r="Y38" s="22">
        <f t="shared" si="9"/>
        <v>-4.3749999999818101E-3</v>
      </c>
      <c r="Z38" s="10">
        <v>4</v>
      </c>
      <c r="AA38" s="2"/>
      <c r="AB38" s="2"/>
      <c r="AC38" s="2"/>
      <c r="AD38" s="2"/>
      <c r="AE38" s="2"/>
      <c r="AF38" s="2"/>
      <c r="AG38" s="2"/>
      <c r="AH38" s="2"/>
      <c r="AI38" s="2"/>
    </row>
    <row r="39" spans="2:35" ht="15.75" customHeight="1" x14ac:dyDescent="0.2">
      <c r="B39" s="364"/>
      <c r="C39" s="68" t="s">
        <v>269</v>
      </c>
      <c r="D39" s="142" t="str">
        <f>HYPERLINK("https://www.facebook.com/ZespriKiwifruitVietnam/photos/a.359595870834691/1653644324763166/?type=3&amp;theater","29 Aug")</f>
        <v>29 Aug</v>
      </c>
      <c r="E39" s="3">
        <v>369</v>
      </c>
      <c r="F39" s="3">
        <v>411969</v>
      </c>
      <c r="G39" s="94">
        <v>444993</v>
      </c>
      <c r="H39" s="27">
        <f t="shared" si="0"/>
        <v>8.2922652715885419E-4</v>
      </c>
      <c r="I39" s="3" t="s">
        <v>34</v>
      </c>
      <c r="J39" s="25" t="s">
        <v>34</v>
      </c>
      <c r="K39" s="3" t="s">
        <v>34</v>
      </c>
      <c r="L39" s="25" t="s">
        <v>34</v>
      </c>
      <c r="M39" s="25" t="s">
        <v>34</v>
      </c>
      <c r="N39" s="25" t="s">
        <v>34</v>
      </c>
      <c r="O39" s="25" t="s">
        <v>34</v>
      </c>
      <c r="P39" s="25" t="s">
        <v>34</v>
      </c>
      <c r="Q39" s="3">
        <v>22</v>
      </c>
      <c r="R39" s="3">
        <v>301</v>
      </c>
      <c r="S39" s="3">
        <v>1</v>
      </c>
      <c r="T39" s="3">
        <v>65</v>
      </c>
      <c r="U39" s="3">
        <v>2</v>
      </c>
      <c r="V39" s="3">
        <v>721</v>
      </c>
      <c r="W39" s="22">
        <v>549.4</v>
      </c>
      <c r="X39" s="22">
        <v>549.40649999999994</v>
      </c>
      <c r="Y39" s="22">
        <f t="shared" si="9"/>
        <v>-6.4999999999599822E-3</v>
      </c>
      <c r="Z39" s="10">
        <v>4</v>
      </c>
      <c r="AA39" s="2"/>
      <c r="AB39" s="2"/>
      <c r="AC39" s="2"/>
      <c r="AD39" s="2"/>
      <c r="AE39" s="2"/>
      <c r="AF39" s="2"/>
      <c r="AG39" s="2"/>
      <c r="AH39" s="2"/>
      <c r="AI39" s="2"/>
    </row>
    <row r="40" spans="2:35" ht="15.75" customHeight="1" x14ac:dyDescent="0.2">
      <c r="B40" s="364"/>
      <c r="C40" s="68" t="s">
        <v>270</v>
      </c>
      <c r="D40" s="142" t="str">
        <f>HYPERLINK("https://www.facebook.com/ZespriKiwifruitVietnam/videos/566444143785227/","1 Sept")</f>
        <v>1 Sept</v>
      </c>
      <c r="E40" s="3">
        <v>17755</v>
      </c>
      <c r="F40" s="3">
        <v>342253</v>
      </c>
      <c r="G40" s="94">
        <v>546153</v>
      </c>
      <c r="H40" s="29">
        <f t="shared" si="0"/>
        <v>3.2509205295951867E-2</v>
      </c>
      <c r="I40" s="3">
        <v>17703</v>
      </c>
      <c r="J40" s="25">
        <f t="shared" si="8"/>
        <v>3.2413993880835587E-2</v>
      </c>
      <c r="K40" s="3">
        <v>3835</v>
      </c>
      <c r="L40" s="25">
        <f t="shared" si="5"/>
        <v>7.021841864825424E-3</v>
      </c>
      <c r="M40" s="25">
        <v>2.7735817618872366E-2</v>
      </c>
      <c r="N40" s="25">
        <v>1.4164528987298431E-2</v>
      </c>
      <c r="O40" s="25">
        <v>9.643817758027513E-3</v>
      </c>
      <c r="P40" s="25">
        <v>6.8588838658764119E-3</v>
      </c>
      <c r="Q40" s="3">
        <v>23</v>
      </c>
      <c r="R40" s="3" t="s">
        <v>34</v>
      </c>
      <c r="S40" s="3">
        <v>0</v>
      </c>
      <c r="T40" s="3">
        <v>49</v>
      </c>
      <c r="U40" s="3">
        <v>3</v>
      </c>
      <c r="V40" s="3">
        <v>2381</v>
      </c>
      <c r="W40" s="22">
        <v>585.41</v>
      </c>
      <c r="X40" s="22">
        <v>585.0089999999999</v>
      </c>
      <c r="Y40" s="22">
        <f t="shared" si="9"/>
        <v>0.4010000000000673</v>
      </c>
      <c r="Z40" s="10">
        <v>4</v>
      </c>
      <c r="AA40" s="2"/>
      <c r="AB40" s="2"/>
      <c r="AC40" s="2"/>
      <c r="AD40" s="2"/>
      <c r="AE40" s="2"/>
      <c r="AF40" s="2"/>
      <c r="AG40" s="2"/>
      <c r="AH40" s="2"/>
      <c r="AI40" s="2"/>
    </row>
    <row r="41" spans="2:35" ht="15.75" customHeight="1" x14ac:dyDescent="0.2">
      <c r="B41" s="364"/>
      <c r="C41" s="68" t="s">
        <v>271</v>
      </c>
      <c r="D41" s="142" t="str">
        <f>HYPERLINK("https://www.facebook.com/ZespriKiwifruitVietnam/videos/1599340103526922/","10 Sept")</f>
        <v>10 Sept</v>
      </c>
      <c r="E41" s="3">
        <v>48259</v>
      </c>
      <c r="F41" s="3">
        <v>304128</v>
      </c>
      <c r="G41" s="94">
        <v>456204</v>
      </c>
      <c r="H41" s="29">
        <f t="shared" si="0"/>
        <v>0.10578381601213492</v>
      </c>
      <c r="I41" s="3">
        <v>48208</v>
      </c>
      <c r="J41" s="25">
        <f t="shared" si="8"/>
        <v>0.10567202391912391</v>
      </c>
      <c r="K41" s="3">
        <v>9729</v>
      </c>
      <c r="L41" s="25">
        <f t="shared" si="5"/>
        <v>2.1325985743220137E-2</v>
      </c>
      <c r="M41" s="25">
        <v>9.1049179752917556E-2</v>
      </c>
      <c r="N41" s="25">
        <v>3.77265433884841E-2</v>
      </c>
      <c r="O41" s="25">
        <v>2.8623159814468967E-2</v>
      </c>
      <c r="P41" s="25">
        <v>2.0786753294578741E-2</v>
      </c>
      <c r="Q41" s="3">
        <v>20</v>
      </c>
      <c r="R41" s="3" t="s">
        <v>34</v>
      </c>
      <c r="S41" s="3">
        <v>0</v>
      </c>
      <c r="T41" s="3">
        <v>50</v>
      </c>
      <c r="U41" s="3">
        <v>1</v>
      </c>
      <c r="V41" s="3">
        <v>1689</v>
      </c>
      <c r="W41" s="22">
        <v>549.4</v>
      </c>
      <c r="X41" s="22">
        <v>549.001125</v>
      </c>
      <c r="Y41" s="22">
        <f t="shared" si="9"/>
        <v>0.39887499999997544</v>
      </c>
      <c r="Z41" s="10">
        <v>4</v>
      </c>
      <c r="AA41" s="2"/>
      <c r="AB41" s="2"/>
      <c r="AC41" s="2"/>
      <c r="AD41" s="2"/>
      <c r="AE41" s="2"/>
      <c r="AF41" s="2"/>
      <c r="AG41" s="2"/>
      <c r="AH41" s="2"/>
      <c r="AI41" s="2"/>
    </row>
    <row r="42" spans="2:35" ht="15.75" customHeight="1" x14ac:dyDescent="0.2">
      <c r="B42" s="364"/>
      <c r="C42" s="68" t="s">
        <v>272</v>
      </c>
      <c r="D42" s="142" t="str">
        <f>HYPERLINK("https://www.facebook.com/ZespriKiwifruitVietnam/videos/346053132831196/","19 Sept")</f>
        <v>19 Sept</v>
      </c>
      <c r="E42" s="3">
        <v>38399</v>
      </c>
      <c r="F42" s="3">
        <v>283328</v>
      </c>
      <c r="G42" s="94">
        <v>425763</v>
      </c>
      <c r="H42" s="29">
        <f t="shared" si="0"/>
        <v>9.0188673041105033E-2</v>
      </c>
      <c r="I42" s="3">
        <v>38353</v>
      </c>
      <c r="J42" s="25">
        <f t="shared" si="8"/>
        <v>9.0080631712948278E-2</v>
      </c>
      <c r="K42" s="3">
        <v>24312</v>
      </c>
      <c r="L42" s="25">
        <f t="shared" si="5"/>
        <v>5.7102190655364607E-2</v>
      </c>
      <c r="M42" s="25">
        <v>0.25024485453174655</v>
      </c>
      <c r="N42" s="25">
        <v>0.14371140752014619</v>
      </c>
      <c r="O42" s="25">
        <v>0.10327576609522199</v>
      </c>
      <c r="P42" s="25">
        <v>7.0302022486688598E-2</v>
      </c>
      <c r="Q42" s="3">
        <v>0</v>
      </c>
      <c r="R42" s="3" t="s">
        <v>34</v>
      </c>
      <c r="S42" s="3">
        <v>0</v>
      </c>
      <c r="T42" s="3">
        <v>45</v>
      </c>
      <c r="U42" s="3">
        <v>1</v>
      </c>
      <c r="V42" s="3">
        <v>1373</v>
      </c>
      <c r="W42" s="22">
        <v>549.4</v>
      </c>
      <c r="X42" s="22">
        <v>549.001125</v>
      </c>
      <c r="Y42" s="22">
        <f t="shared" si="9"/>
        <v>0.39887499999997544</v>
      </c>
      <c r="Z42" s="10">
        <v>4</v>
      </c>
      <c r="AA42" s="2"/>
      <c r="AB42" s="2"/>
      <c r="AC42" s="2"/>
      <c r="AD42" s="2"/>
      <c r="AE42" s="2"/>
      <c r="AF42" s="2"/>
      <c r="AG42" s="2"/>
      <c r="AH42" s="2"/>
      <c r="AI42" s="2"/>
    </row>
    <row r="43" spans="2:35" ht="15.75" customHeight="1" x14ac:dyDescent="0.2">
      <c r="B43" s="364"/>
      <c r="C43" s="68" t="s">
        <v>201</v>
      </c>
      <c r="D43" s="142" t="str">
        <f>HYPERLINK("https://www.facebook.com/348092255318386/posts/1696205680507030/","5 Oct")</f>
        <v>5 Oct</v>
      </c>
      <c r="E43" s="3">
        <v>962</v>
      </c>
      <c r="F43" s="3">
        <v>312575</v>
      </c>
      <c r="G43" s="94">
        <v>483983</v>
      </c>
      <c r="H43" s="27">
        <f t="shared" si="0"/>
        <v>1.9876731207501088E-3</v>
      </c>
      <c r="I43" s="3" t="s">
        <v>34</v>
      </c>
      <c r="J43" s="25" t="s">
        <v>34</v>
      </c>
      <c r="K43" s="3" t="s">
        <v>34</v>
      </c>
      <c r="L43" s="25" t="s">
        <v>34</v>
      </c>
      <c r="M43" s="25" t="s">
        <v>34</v>
      </c>
      <c r="N43" s="25" t="s">
        <v>34</v>
      </c>
      <c r="O43" s="25" t="s">
        <v>34</v>
      </c>
      <c r="P43" s="25" t="s">
        <v>34</v>
      </c>
      <c r="Q43" s="3">
        <v>14</v>
      </c>
      <c r="R43" s="3">
        <v>820</v>
      </c>
      <c r="S43" s="3">
        <v>2</v>
      </c>
      <c r="T43" s="3">
        <v>137</v>
      </c>
      <c r="U43" s="3">
        <v>3</v>
      </c>
      <c r="V43" s="3">
        <v>1767</v>
      </c>
      <c r="W43" s="22">
        <v>549.4</v>
      </c>
      <c r="X43" s="22">
        <v>549.40649999999994</v>
      </c>
      <c r="Y43" s="22">
        <f t="shared" si="9"/>
        <v>-6.4999999999599822E-3</v>
      </c>
      <c r="Z43" s="10">
        <v>4</v>
      </c>
      <c r="AA43" s="2"/>
      <c r="AB43" s="2"/>
      <c r="AC43" s="2"/>
      <c r="AD43" s="2"/>
      <c r="AE43" s="2"/>
      <c r="AF43" s="2"/>
      <c r="AG43" s="2"/>
      <c r="AH43" s="2"/>
      <c r="AI43" s="2"/>
    </row>
    <row r="44" spans="2:35" ht="15.75" customHeight="1" x14ac:dyDescent="0.2">
      <c r="B44" s="364"/>
      <c r="C44" s="68" t="s">
        <v>273</v>
      </c>
      <c r="D44" s="142" t="str">
        <f>HYPERLINK("https://www.facebook.com/348092255318386/posts/1717462278381370/","22 Oct")</f>
        <v>22 Oct</v>
      </c>
      <c r="E44" s="3">
        <v>26637</v>
      </c>
      <c r="F44" s="3">
        <v>267837</v>
      </c>
      <c r="G44" s="94">
        <v>496294</v>
      </c>
      <c r="H44" s="27">
        <f t="shared" si="0"/>
        <v>5.367181549645976E-2</v>
      </c>
      <c r="I44" s="3">
        <v>26521</v>
      </c>
      <c r="J44" s="25">
        <f t="shared" si="8"/>
        <v>5.3438083071727642E-2</v>
      </c>
      <c r="K44" s="3">
        <v>14963</v>
      </c>
      <c r="L44" s="25">
        <f t="shared" si="5"/>
        <v>3.0149467855746796E-2</v>
      </c>
      <c r="M44" s="25">
        <v>0.15927454291206422</v>
      </c>
      <c r="N44" s="25">
        <v>7.0649655244673523E-2</v>
      </c>
      <c r="O44" s="25">
        <v>4.6863351158788945E-2</v>
      </c>
      <c r="P44" s="25">
        <v>3.493090788927531E-2</v>
      </c>
      <c r="Q44" s="3">
        <v>0</v>
      </c>
      <c r="R44" s="3" t="s">
        <v>34</v>
      </c>
      <c r="S44" s="3">
        <v>1</v>
      </c>
      <c r="T44" s="3">
        <v>55</v>
      </c>
      <c r="U44" s="3">
        <v>1</v>
      </c>
      <c r="V44" s="3">
        <v>1762</v>
      </c>
      <c r="W44" s="22">
        <v>549.4</v>
      </c>
      <c r="X44" s="22">
        <v>549.40649999999994</v>
      </c>
      <c r="Y44" s="22">
        <f t="shared" si="9"/>
        <v>-6.4999999999599822E-3</v>
      </c>
      <c r="Z44" s="10">
        <v>4</v>
      </c>
      <c r="AA44" s="2"/>
      <c r="AB44" s="2"/>
      <c r="AC44" s="2"/>
      <c r="AD44" s="2"/>
      <c r="AE44" s="2"/>
      <c r="AF44" s="2"/>
      <c r="AG44" s="2"/>
      <c r="AH44" s="2"/>
      <c r="AI44" s="2"/>
    </row>
    <row r="45" spans="2:35" ht="15.75" customHeight="1" x14ac:dyDescent="0.2">
      <c r="B45" s="364"/>
      <c r="C45" s="68" t="s">
        <v>274</v>
      </c>
      <c r="D45" s="142" t="str">
        <f>HYPERLINK("https://www.facebook.com/348092255318386/posts/1717463131714618/","26 Oct")</f>
        <v>26 Oct</v>
      </c>
      <c r="E45" s="3">
        <v>51077</v>
      </c>
      <c r="F45" s="3">
        <v>287100</v>
      </c>
      <c r="G45" s="94">
        <v>560662</v>
      </c>
      <c r="H45" s="27">
        <f t="shared" si="0"/>
        <v>9.1101233898498557E-2</v>
      </c>
      <c r="I45" s="3">
        <v>51003</v>
      </c>
      <c r="J45" s="25">
        <f t="shared" si="8"/>
        <v>9.0969247068643858E-2</v>
      </c>
      <c r="K45" s="3">
        <v>27078</v>
      </c>
      <c r="L45" s="25">
        <f t="shared" si="5"/>
        <v>4.8296478091969852E-2</v>
      </c>
      <c r="M45" s="25">
        <v>9.2239174404543198E-2</v>
      </c>
      <c r="N45" s="25">
        <v>6.7454188084799749E-2</v>
      </c>
      <c r="O45" s="25">
        <v>5.8011778932761625E-2</v>
      </c>
      <c r="P45" s="25">
        <v>4.8059258519393147E-2</v>
      </c>
      <c r="Q45" s="3">
        <v>0</v>
      </c>
      <c r="R45" s="3" t="s">
        <v>34</v>
      </c>
      <c r="S45" s="3">
        <v>0</v>
      </c>
      <c r="T45" s="3">
        <v>74</v>
      </c>
      <c r="U45" s="3">
        <v>0</v>
      </c>
      <c r="V45" s="3">
        <v>3240</v>
      </c>
      <c r="W45" s="22">
        <v>549.4</v>
      </c>
      <c r="X45" s="22">
        <v>549.40649999999994</v>
      </c>
      <c r="Y45" s="22">
        <f t="shared" si="9"/>
        <v>-6.4999999999599822E-3</v>
      </c>
      <c r="Z45" s="10">
        <v>5</v>
      </c>
      <c r="AA45" s="2"/>
      <c r="AB45" s="2"/>
      <c r="AC45" s="2"/>
      <c r="AD45" s="2"/>
      <c r="AE45" s="2"/>
      <c r="AF45" s="2"/>
      <c r="AG45" s="2"/>
      <c r="AH45" s="2"/>
      <c r="AI45" s="2"/>
    </row>
    <row r="46" spans="2:35" ht="15.75" customHeight="1" x14ac:dyDescent="0.2">
      <c r="B46" s="364"/>
      <c r="C46" s="68" t="s">
        <v>275</v>
      </c>
      <c r="D46" s="142" t="str">
        <f>HYPERLINK("https://www.facebook.com/348092255318386/posts/1717467755047489/","30 Oct")</f>
        <v>30 Oct</v>
      </c>
      <c r="E46" s="3">
        <v>29479</v>
      </c>
      <c r="F46" s="3">
        <v>328641</v>
      </c>
      <c r="G46" s="94">
        <v>552339</v>
      </c>
      <c r="H46" s="27">
        <f t="shared" si="0"/>
        <v>5.3371208623689437E-2</v>
      </c>
      <c r="I46" s="3">
        <v>29393</v>
      </c>
      <c r="J46" s="25">
        <f t="shared" si="8"/>
        <v>5.3215507143258033E-2</v>
      </c>
      <c r="K46" s="3">
        <v>4836</v>
      </c>
      <c r="L46" s="25">
        <f t="shared" si="5"/>
        <v>8.7554925507704502E-3</v>
      </c>
      <c r="M46" s="25">
        <v>5.5415243174934237E-2</v>
      </c>
      <c r="N46" s="25">
        <v>2.8337669438515116E-2</v>
      </c>
      <c r="O46" s="25">
        <v>1.9151282093062414E-2</v>
      </c>
      <c r="P46" s="25">
        <v>1.3810359217799214E-2</v>
      </c>
      <c r="Q46" s="3">
        <v>0</v>
      </c>
      <c r="R46" s="3" t="s">
        <v>34</v>
      </c>
      <c r="S46" s="3">
        <v>1</v>
      </c>
      <c r="T46" s="3">
        <v>85</v>
      </c>
      <c r="U46" s="3">
        <v>0</v>
      </c>
      <c r="V46" s="3">
        <v>2424</v>
      </c>
      <c r="W46" s="22">
        <v>549.4</v>
      </c>
      <c r="X46" s="22">
        <v>549.40649999999994</v>
      </c>
      <c r="Y46" s="22">
        <f t="shared" si="9"/>
        <v>-6.4999999999599822E-3</v>
      </c>
      <c r="Z46" s="10">
        <v>5</v>
      </c>
      <c r="AA46" s="2"/>
      <c r="AB46" s="2"/>
      <c r="AC46" s="2"/>
      <c r="AD46" s="2"/>
      <c r="AE46" s="2"/>
      <c r="AF46" s="2"/>
      <c r="AG46" s="2"/>
      <c r="AH46" s="2"/>
      <c r="AI46" s="2"/>
    </row>
    <row r="47" spans="2:35" ht="15.75" customHeight="1" x14ac:dyDescent="0.2">
      <c r="B47" s="364"/>
      <c r="C47" s="68" t="s">
        <v>276</v>
      </c>
      <c r="D47" s="142" t="str">
        <f>HYPERLINK("https://www.facebook.com/348092255318386/posts/1763249033802694/","23 Nov")</f>
        <v>23 Nov</v>
      </c>
      <c r="E47" s="3">
        <v>17152</v>
      </c>
      <c r="F47" s="3">
        <v>301680</v>
      </c>
      <c r="G47" s="94">
        <v>480461</v>
      </c>
      <c r="H47" s="27">
        <f t="shared" si="0"/>
        <v>3.5699047373251941E-2</v>
      </c>
      <c r="I47" s="3">
        <v>6099</v>
      </c>
      <c r="J47" s="25">
        <f t="shared" si="8"/>
        <v>1.2694058414730851E-2</v>
      </c>
      <c r="K47" s="3">
        <v>5825</v>
      </c>
      <c r="L47" s="25">
        <f t="shared" si="5"/>
        <v>1.2123772793213184E-2</v>
      </c>
      <c r="M47" s="25">
        <v>7.0000000000000007E-2</v>
      </c>
      <c r="N47" s="25">
        <v>0.03</v>
      </c>
      <c r="O47" s="25">
        <v>0.02</v>
      </c>
      <c r="P47" s="25">
        <v>0.01</v>
      </c>
      <c r="Q47" s="3">
        <v>0</v>
      </c>
      <c r="R47" s="3" t="s">
        <v>34</v>
      </c>
      <c r="S47" s="3">
        <v>1</v>
      </c>
      <c r="T47" s="3">
        <v>50</v>
      </c>
      <c r="U47" s="3">
        <v>3</v>
      </c>
      <c r="V47" s="3">
        <v>1550</v>
      </c>
      <c r="W47" s="22">
        <v>549.4</v>
      </c>
      <c r="X47" s="22">
        <v>549.40649999999994</v>
      </c>
      <c r="Y47" s="22">
        <f t="shared" ref="Y47:Y57" si="10">W47-X47</f>
        <v>-6.4999999999599822E-3</v>
      </c>
      <c r="Z47" s="10">
        <v>5</v>
      </c>
      <c r="AA47" s="2"/>
      <c r="AB47" s="2"/>
      <c r="AC47" s="2"/>
      <c r="AD47" s="2"/>
      <c r="AE47" s="2"/>
      <c r="AF47" s="2"/>
      <c r="AG47" s="2"/>
      <c r="AH47" s="2"/>
      <c r="AI47" s="2"/>
    </row>
    <row r="48" spans="2:35" ht="15.75" customHeight="1" x14ac:dyDescent="0.2">
      <c r="B48" s="364"/>
      <c r="C48" s="68" t="s">
        <v>277</v>
      </c>
      <c r="D48" s="142" t="str">
        <f>HYPERLINK("https://www.facebook.com/348092255318386/posts/1763244307136500/","26 Nov")</f>
        <v>26 Nov</v>
      </c>
      <c r="E48" s="3">
        <v>889</v>
      </c>
      <c r="F48" s="3">
        <v>276725</v>
      </c>
      <c r="G48" s="94">
        <v>486112</v>
      </c>
      <c r="H48" s="27">
        <f t="shared" si="0"/>
        <v>1.8287966559146864E-3</v>
      </c>
      <c r="I48" s="3" t="s">
        <v>34</v>
      </c>
      <c r="J48" s="25" t="s">
        <v>34</v>
      </c>
      <c r="K48" s="3" t="s">
        <v>34</v>
      </c>
      <c r="L48" s="25" t="s">
        <v>34</v>
      </c>
      <c r="M48" s="25" t="s">
        <v>34</v>
      </c>
      <c r="N48" s="25" t="s">
        <v>34</v>
      </c>
      <c r="O48" s="25" t="s">
        <v>34</v>
      </c>
      <c r="P48" s="25" t="s">
        <v>34</v>
      </c>
      <c r="Q48" s="3">
        <v>0</v>
      </c>
      <c r="R48" s="3">
        <v>811</v>
      </c>
      <c r="S48" s="3">
        <v>0</v>
      </c>
      <c r="T48" s="3">
        <v>58</v>
      </c>
      <c r="U48" s="3">
        <v>6</v>
      </c>
      <c r="V48" s="3">
        <v>1300</v>
      </c>
      <c r="W48" s="22">
        <v>549.4</v>
      </c>
      <c r="X48" s="22">
        <v>549.40649999999994</v>
      </c>
      <c r="Y48" s="22">
        <f t="shared" si="10"/>
        <v>-6.4999999999599822E-3</v>
      </c>
      <c r="Z48" s="10">
        <v>4</v>
      </c>
      <c r="AA48" s="2"/>
      <c r="AB48" s="2"/>
      <c r="AC48" s="2"/>
      <c r="AD48" s="2"/>
      <c r="AE48" s="2"/>
      <c r="AF48" s="2"/>
      <c r="AG48" s="2"/>
      <c r="AH48" s="2"/>
      <c r="AI48" s="2"/>
    </row>
    <row r="49" spans="2:35" ht="15.75" customHeight="1" x14ac:dyDescent="0.2">
      <c r="B49" s="364"/>
      <c r="C49" s="68" t="s">
        <v>278</v>
      </c>
      <c r="D49" s="142" t="str">
        <f>HYPERLINK("https://www.facebook.com/348092255318386/posts/1763248107136120/","30 Nov")</f>
        <v>30 Nov</v>
      </c>
      <c r="E49" s="3">
        <v>41292</v>
      </c>
      <c r="F49" s="3">
        <v>276025</v>
      </c>
      <c r="G49" s="94">
        <v>527892</v>
      </c>
      <c r="H49" s="27">
        <f t="shared" si="0"/>
        <v>7.8220545111500075E-2</v>
      </c>
      <c r="I49" s="3">
        <v>41172</v>
      </c>
      <c r="J49" s="25">
        <f t="shared" si="8"/>
        <v>7.7993225887113271E-2</v>
      </c>
      <c r="K49" s="3">
        <v>21168</v>
      </c>
      <c r="L49" s="25">
        <f t="shared" si="5"/>
        <v>4.0099111181832646E-2</v>
      </c>
      <c r="M49" s="25">
        <v>0.11</v>
      </c>
      <c r="N49" s="25">
        <v>0.08</v>
      </c>
      <c r="O49" s="25">
        <v>0.06</v>
      </c>
      <c r="P49" s="25">
        <v>0.04</v>
      </c>
      <c r="Q49" s="3">
        <v>0</v>
      </c>
      <c r="R49" s="3" t="s">
        <v>34</v>
      </c>
      <c r="S49" s="3">
        <v>3</v>
      </c>
      <c r="T49" s="3">
        <v>112</v>
      </c>
      <c r="U49" s="3">
        <v>5</v>
      </c>
      <c r="V49" s="3">
        <v>2360</v>
      </c>
      <c r="W49" s="22">
        <v>549.4</v>
      </c>
      <c r="X49" s="22">
        <f>389.65*1.41</f>
        <v>549.40649999999994</v>
      </c>
      <c r="Y49" s="22">
        <f t="shared" si="10"/>
        <v>-6.4999999999599822E-3</v>
      </c>
      <c r="Z49" s="10">
        <v>4</v>
      </c>
      <c r="AA49" s="2"/>
      <c r="AB49" s="2"/>
      <c r="AC49" s="2"/>
      <c r="AD49" s="2"/>
      <c r="AE49" s="2"/>
      <c r="AF49" s="2"/>
      <c r="AG49" s="2"/>
      <c r="AH49" s="2"/>
      <c r="AI49" s="2"/>
    </row>
    <row r="50" spans="2:35" ht="15.75" customHeight="1" x14ac:dyDescent="0.2">
      <c r="B50" s="364"/>
      <c r="C50" s="68" t="s">
        <v>279</v>
      </c>
      <c r="D50" s="142" t="str">
        <f>HYPERLINK("https://www.facebook.com/348092255318386/posts/1779384278855836/","5 Dec")</f>
        <v>5 Dec</v>
      </c>
      <c r="E50" s="3">
        <v>16362</v>
      </c>
      <c r="F50" s="3">
        <v>243125</v>
      </c>
      <c r="G50" s="94">
        <v>466471</v>
      </c>
      <c r="H50" s="27">
        <f t="shared" si="0"/>
        <v>3.5076135493953539E-2</v>
      </c>
      <c r="I50" s="3">
        <v>16316</v>
      </c>
      <c r="J50" s="25">
        <f t="shared" si="8"/>
        <v>3.4977522718454092E-2</v>
      </c>
      <c r="K50" s="3">
        <v>3473</v>
      </c>
      <c r="L50" s="25">
        <f t="shared" si="5"/>
        <v>7.4452645502078368E-3</v>
      </c>
      <c r="M50" s="25">
        <v>0.04</v>
      </c>
      <c r="N50" s="25">
        <v>0.02</v>
      </c>
      <c r="O50" s="25">
        <v>0.01</v>
      </c>
      <c r="P50" s="25">
        <v>0.01</v>
      </c>
      <c r="Q50" s="3">
        <v>0</v>
      </c>
      <c r="R50" s="3" t="s">
        <v>34</v>
      </c>
      <c r="S50" s="3">
        <v>0</v>
      </c>
      <c r="T50" s="3">
        <v>46</v>
      </c>
      <c r="U50" s="3">
        <v>0</v>
      </c>
      <c r="V50" s="3">
        <v>1552</v>
      </c>
      <c r="W50" s="22">
        <v>549.4</v>
      </c>
      <c r="X50" s="22">
        <f>389.65*1.41</f>
        <v>549.40649999999994</v>
      </c>
      <c r="Y50" s="22">
        <f t="shared" si="10"/>
        <v>-6.4999999999599822E-3</v>
      </c>
      <c r="Z50" s="10">
        <v>3</v>
      </c>
      <c r="AA50" s="2"/>
      <c r="AB50" s="2"/>
      <c r="AC50" s="2"/>
      <c r="AD50" s="2"/>
      <c r="AE50" s="2"/>
      <c r="AF50" s="2"/>
      <c r="AG50" s="2"/>
      <c r="AH50" s="2"/>
      <c r="AI50" s="2"/>
    </row>
    <row r="51" spans="2:35" ht="15.75" customHeight="1" x14ac:dyDescent="0.2">
      <c r="B51" s="364"/>
      <c r="C51" s="68" t="s">
        <v>280</v>
      </c>
      <c r="D51" s="142" t="str">
        <f>HYPERLINK("https://www.facebook.com/348092255318386/posts/1779387785522152/","10 Dec")</f>
        <v>10 Dec</v>
      </c>
      <c r="E51" s="3">
        <v>27761</v>
      </c>
      <c r="F51" s="3">
        <v>292204</v>
      </c>
      <c r="G51" s="94">
        <v>479868</v>
      </c>
      <c r="H51" s="27">
        <f t="shared" si="0"/>
        <v>5.7851325781256513E-2</v>
      </c>
      <c r="I51" s="3">
        <v>27603</v>
      </c>
      <c r="J51" s="25">
        <f t="shared" si="8"/>
        <v>5.7522068568856437E-2</v>
      </c>
      <c r="K51" s="3">
        <v>3870</v>
      </c>
      <c r="L51" s="25">
        <f t="shared" si="5"/>
        <v>8.0647177973942833E-3</v>
      </c>
      <c r="M51" s="25">
        <v>0.01</v>
      </c>
      <c r="N51" s="25">
        <v>0.01</v>
      </c>
      <c r="O51" s="27">
        <v>4.0000000000000001E-3</v>
      </c>
      <c r="P51" s="27">
        <v>2E-3</v>
      </c>
      <c r="Q51" s="3">
        <v>0</v>
      </c>
      <c r="R51" s="3" t="s">
        <v>34</v>
      </c>
      <c r="S51" s="3">
        <v>5</v>
      </c>
      <c r="T51" s="3">
        <v>125</v>
      </c>
      <c r="U51" s="3">
        <v>28</v>
      </c>
      <c r="V51" s="3">
        <v>5569</v>
      </c>
      <c r="W51" s="22">
        <v>549.4</v>
      </c>
      <c r="X51" s="22">
        <f>389.65*1.41</f>
        <v>549.40649999999994</v>
      </c>
      <c r="Y51" s="22">
        <f t="shared" si="10"/>
        <v>-6.4999999999599822E-3</v>
      </c>
      <c r="Z51" s="10">
        <v>5</v>
      </c>
      <c r="AA51" s="2"/>
      <c r="AB51" s="2"/>
      <c r="AC51" s="2"/>
      <c r="AD51" s="2"/>
      <c r="AE51" s="2"/>
      <c r="AF51" s="2"/>
      <c r="AG51" s="2"/>
      <c r="AH51" s="2"/>
      <c r="AI51" s="2"/>
    </row>
    <row r="52" spans="2:35" ht="15.75" customHeight="1" x14ac:dyDescent="0.2">
      <c r="B52" s="364"/>
      <c r="C52" s="68" t="s">
        <v>281</v>
      </c>
      <c r="D52" s="142" t="str">
        <f>HYPERLINK("https://www.facebook.com/348092255318386/posts/1784636808330583/","14 Dec")</f>
        <v>14 Dec</v>
      </c>
      <c r="E52" s="3">
        <v>27058</v>
      </c>
      <c r="F52" s="3">
        <v>285998</v>
      </c>
      <c r="G52" s="94">
        <v>468539</v>
      </c>
      <c r="H52" s="27">
        <f t="shared" si="0"/>
        <v>5.7749728411082106E-2</v>
      </c>
      <c r="I52" s="3">
        <v>26960</v>
      </c>
      <c r="J52" s="25">
        <f t="shared" si="8"/>
        <v>5.7540567594159715E-2</v>
      </c>
      <c r="K52" s="3">
        <v>15897</v>
      </c>
      <c r="L52" s="25">
        <f t="shared" si="5"/>
        <v>3.3928872516482085E-2</v>
      </c>
      <c r="M52" s="25">
        <v>0.24081026339322875</v>
      </c>
      <c r="N52" s="25">
        <v>0.10022644859872924</v>
      </c>
      <c r="O52" s="25">
        <v>6.6920789944913864E-2</v>
      </c>
      <c r="P52" s="25">
        <v>4.584250190485744E-2</v>
      </c>
      <c r="Q52" s="3">
        <v>3</v>
      </c>
      <c r="R52" s="3"/>
      <c r="S52" s="3">
        <v>2</v>
      </c>
      <c r="T52" s="3">
        <v>93</v>
      </c>
      <c r="U52" s="3">
        <v>3</v>
      </c>
      <c r="V52" s="3">
        <v>1938</v>
      </c>
      <c r="W52" s="22">
        <v>549.4</v>
      </c>
      <c r="X52" s="22">
        <v>549.40649999999994</v>
      </c>
      <c r="Y52" s="22">
        <f t="shared" si="10"/>
        <v>-6.4999999999599822E-3</v>
      </c>
      <c r="Z52" s="10">
        <v>4</v>
      </c>
      <c r="AA52" s="2"/>
      <c r="AB52" s="2"/>
      <c r="AC52" s="2"/>
      <c r="AD52" s="2"/>
      <c r="AE52" s="2"/>
      <c r="AF52" s="2"/>
      <c r="AG52" s="2"/>
      <c r="AH52" s="2"/>
      <c r="AI52" s="2"/>
    </row>
    <row r="53" spans="2:35" ht="15.75" customHeight="1" x14ac:dyDescent="0.2">
      <c r="B53" s="364"/>
      <c r="C53" s="68" t="s">
        <v>117</v>
      </c>
      <c r="D53" s="142" t="str">
        <f>HYPERLINK("https://www.facebook.com/348092255318386/posts/1801170996677164/","20 Dec")</f>
        <v>20 Dec</v>
      </c>
      <c r="E53" s="3">
        <v>528</v>
      </c>
      <c r="F53" s="3">
        <v>248000</v>
      </c>
      <c r="G53" s="94">
        <v>507668</v>
      </c>
      <c r="H53" s="27">
        <f t="shared" si="0"/>
        <v>1.0400497963235816E-3</v>
      </c>
      <c r="I53" s="3"/>
      <c r="J53" s="25">
        <f t="shared" si="8"/>
        <v>0</v>
      </c>
      <c r="K53" s="3"/>
      <c r="L53" s="25">
        <f t="shared" si="5"/>
        <v>0</v>
      </c>
      <c r="M53" s="25"/>
      <c r="N53" s="25"/>
      <c r="O53" s="25"/>
      <c r="P53" s="25"/>
      <c r="Q53" s="3">
        <v>2</v>
      </c>
      <c r="R53" s="3">
        <v>426</v>
      </c>
      <c r="S53" s="3"/>
      <c r="T53" s="3">
        <v>47</v>
      </c>
      <c r="U53" s="3">
        <v>1</v>
      </c>
      <c r="V53" s="3">
        <v>934</v>
      </c>
      <c r="W53" s="22">
        <v>549.4</v>
      </c>
      <c r="X53" s="22">
        <v>549.40649999999994</v>
      </c>
      <c r="Y53" s="22">
        <f t="shared" si="10"/>
        <v>-6.4999999999599822E-3</v>
      </c>
      <c r="Z53" s="10">
        <v>4</v>
      </c>
      <c r="AA53" s="2"/>
      <c r="AB53" s="2"/>
      <c r="AC53" s="2"/>
      <c r="AD53" s="2"/>
      <c r="AE53" s="2"/>
      <c r="AF53" s="2"/>
      <c r="AG53" s="2"/>
      <c r="AH53" s="2"/>
      <c r="AI53" s="2"/>
    </row>
    <row r="54" spans="2:35" ht="15.75" customHeight="1" x14ac:dyDescent="0.2">
      <c r="B54" s="364"/>
      <c r="C54" s="68" t="s">
        <v>118</v>
      </c>
      <c r="D54" s="142" t="str">
        <f>HYPERLINK("https://www.facebook.com/348092255318386/posts/1801173076676956/","24 Dec")</f>
        <v>24 Dec</v>
      </c>
      <c r="E54" s="3">
        <v>10976</v>
      </c>
      <c r="F54" s="3">
        <v>227072</v>
      </c>
      <c r="G54" s="94">
        <v>431298</v>
      </c>
      <c r="H54" s="27">
        <f t="shared" si="0"/>
        <v>2.5448761645080663E-2</v>
      </c>
      <c r="I54" s="3">
        <v>10940</v>
      </c>
      <c r="J54" s="25">
        <f t="shared" si="8"/>
        <v>2.5365292674670414E-2</v>
      </c>
      <c r="K54" s="3">
        <v>1610</v>
      </c>
      <c r="L54" s="25">
        <f t="shared" si="5"/>
        <v>3.7329178433472914E-3</v>
      </c>
      <c r="M54" s="25">
        <v>1.9673172609193643E-2</v>
      </c>
      <c r="N54" s="25">
        <v>8.7225074078711232E-3</v>
      </c>
      <c r="O54" s="25">
        <v>5.1681204179013117E-3</v>
      </c>
      <c r="P54" s="25">
        <v>3.6169887177774996E-3</v>
      </c>
      <c r="Q54" s="3"/>
      <c r="R54" s="3"/>
      <c r="S54" s="3"/>
      <c r="T54" s="3">
        <v>30</v>
      </c>
      <c r="U54" s="3">
        <v>6</v>
      </c>
      <c r="V54" s="3">
        <v>1183</v>
      </c>
      <c r="W54" s="22">
        <v>549.4</v>
      </c>
      <c r="X54" s="22">
        <v>549.40649999999994</v>
      </c>
      <c r="Y54" s="22">
        <f t="shared" si="10"/>
        <v>-6.4999999999599822E-3</v>
      </c>
      <c r="Z54" s="10">
        <v>2</v>
      </c>
      <c r="AA54" s="2"/>
      <c r="AB54" s="2"/>
      <c r="AC54" s="2"/>
      <c r="AD54" s="2"/>
      <c r="AE54" s="2"/>
      <c r="AF54" s="2"/>
      <c r="AG54" s="2"/>
      <c r="AH54" s="2"/>
      <c r="AI54" s="2"/>
    </row>
    <row r="55" spans="2:35" ht="15.75" customHeight="1" x14ac:dyDescent="0.2">
      <c r="B55" s="364"/>
      <c r="C55" s="68" t="s">
        <v>255</v>
      </c>
      <c r="D55" s="142" t="str">
        <f>HYPERLINK("https://www.facebook.com/348092255318386/posts/1808464972614433/","1 Jan")</f>
        <v>1 Jan</v>
      </c>
      <c r="E55" s="3">
        <v>2053</v>
      </c>
      <c r="F55" s="3">
        <v>721920</v>
      </c>
      <c r="G55" s="94">
        <v>1487136</v>
      </c>
      <c r="H55" s="27">
        <f t="shared" si="0"/>
        <v>1.3805058851376068E-3</v>
      </c>
      <c r="I55" s="3"/>
      <c r="J55" s="25">
        <f t="shared" si="8"/>
        <v>0</v>
      </c>
      <c r="K55" s="3"/>
      <c r="L55" s="25">
        <f t="shared" si="5"/>
        <v>0</v>
      </c>
      <c r="M55" s="25"/>
      <c r="N55" s="25"/>
      <c r="O55" s="25"/>
      <c r="P55" s="25"/>
      <c r="Q55" s="3">
        <v>1</v>
      </c>
      <c r="R55" s="3">
        <v>1835</v>
      </c>
      <c r="S55" s="3">
        <v>4</v>
      </c>
      <c r="T55" s="3">
        <v>213</v>
      </c>
      <c r="U55" s="3">
        <v>1</v>
      </c>
      <c r="V55" s="3">
        <v>3870</v>
      </c>
      <c r="W55" s="22">
        <v>2129.98</v>
      </c>
      <c r="X55" s="22">
        <v>2129.9812499999998</v>
      </c>
      <c r="Y55" s="22">
        <f t="shared" si="10"/>
        <v>-1.2499999997999112E-3</v>
      </c>
      <c r="Z55" s="10">
        <v>2</v>
      </c>
      <c r="AA55" s="2"/>
      <c r="AB55" s="2"/>
      <c r="AC55" s="2"/>
      <c r="AD55" s="2"/>
      <c r="AE55" s="2"/>
      <c r="AF55" s="2"/>
      <c r="AG55" s="2"/>
      <c r="AH55" s="2"/>
      <c r="AI55" s="2"/>
    </row>
    <row r="56" spans="2:35" ht="15.75" customHeight="1" x14ac:dyDescent="0.2">
      <c r="B56" s="364"/>
      <c r="C56" s="68" t="s">
        <v>282</v>
      </c>
      <c r="D56" s="142" t="str">
        <f>HYPERLINK("https://www.facebook.com/ZespriKiwifruitVietnam/photos/a.359595870834691/1833376043456659/?type=3&amp;theater","11 Jan")</f>
        <v>11 Jan</v>
      </c>
      <c r="E56" s="3">
        <v>1813</v>
      </c>
      <c r="F56" s="3">
        <v>1170430</v>
      </c>
      <c r="G56" s="94">
        <v>1217675</v>
      </c>
      <c r="H56" s="27">
        <f t="shared" si="0"/>
        <v>1.4889030324183382E-3</v>
      </c>
      <c r="I56" s="3"/>
      <c r="J56" s="25">
        <f t="shared" si="8"/>
        <v>0</v>
      </c>
      <c r="K56" s="3"/>
      <c r="L56" s="25">
        <f t="shared" si="5"/>
        <v>0</v>
      </c>
      <c r="M56" s="25"/>
      <c r="N56" s="25"/>
      <c r="O56" s="25"/>
      <c r="P56" s="25"/>
      <c r="Q56" s="3"/>
      <c r="R56" s="3">
        <v>1585</v>
      </c>
      <c r="S56" s="3">
        <v>2</v>
      </c>
      <c r="T56" s="3">
        <v>226</v>
      </c>
      <c r="U56" s="3"/>
      <c r="V56" s="3">
        <v>2187</v>
      </c>
      <c r="W56" s="22">
        <v>4985.6899999999996</v>
      </c>
      <c r="X56" s="22">
        <v>1132.4767499999998</v>
      </c>
      <c r="Y56" s="22">
        <f t="shared" si="10"/>
        <v>3853.2132499999998</v>
      </c>
      <c r="Z56" s="10">
        <v>4</v>
      </c>
      <c r="AA56" s="2"/>
      <c r="AB56" s="2"/>
      <c r="AC56" s="2"/>
      <c r="AD56" s="2"/>
      <c r="AE56" s="2"/>
      <c r="AF56" s="2"/>
      <c r="AG56" s="2"/>
      <c r="AH56" s="2"/>
      <c r="AI56" s="2"/>
    </row>
    <row r="57" spans="2:35" ht="15.75" customHeight="1" x14ac:dyDescent="0.2">
      <c r="B57" s="364"/>
      <c r="C57" s="68" t="s">
        <v>283</v>
      </c>
      <c r="D57" s="142" t="str">
        <f>HYPERLINK("https://www.facebook.com/348092255318386/posts/1833384373455826/","12 Jan")</f>
        <v>12 Jan</v>
      </c>
      <c r="E57" s="3">
        <v>27458</v>
      </c>
      <c r="F57" s="3">
        <v>882300</v>
      </c>
      <c r="G57" s="94">
        <v>932215</v>
      </c>
      <c r="H57" s="27">
        <f t="shared" si="0"/>
        <v>2.9454578611157297E-2</v>
      </c>
      <c r="I57" s="3">
        <v>27112</v>
      </c>
      <c r="J57" s="25">
        <f t="shared" si="8"/>
        <v>2.9083419597410468E-2</v>
      </c>
      <c r="K57" s="3">
        <v>13194</v>
      </c>
      <c r="L57" s="25">
        <f t="shared" si="5"/>
        <v>1.4153387362357396E-2</v>
      </c>
      <c r="M57" s="25">
        <v>0.13930906496891812</v>
      </c>
      <c r="N57" s="25">
        <v>4.9448893227420715E-2</v>
      </c>
      <c r="O57" s="25">
        <v>2.8496645087238461E-2</v>
      </c>
      <c r="P57" s="25">
        <v>1.940861282000397E-2</v>
      </c>
      <c r="Q57" s="3"/>
      <c r="R57" s="3"/>
      <c r="S57" s="3"/>
      <c r="T57" s="3">
        <v>344</v>
      </c>
      <c r="U57" s="3">
        <v>2</v>
      </c>
      <c r="V57" s="3">
        <v>3046</v>
      </c>
      <c r="W57" s="22">
        <v>4985.6899999999996</v>
      </c>
      <c r="X57" s="22">
        <v>850.17712499999993</v>
      </c>
      <c r="Y57" s="22">
        <f t="shared" si="10"/>
        <v>4135.5128749999994</v>
      </c>
      <c r="Z57" s="10">
        <v>4</v>
      </c>
      <c r="AA57" s="2"/>
      <c r="AB57" s="2"/>
      <c r="AC57" s="2"/>
      <c r="AD57" s="2"/>
      <c r="AE57" s="2"/>
      <c r="AF57" s="2"/>
      <c r="AG57" s="2"/>
      <c r="AH57" s="2"/>
      <c r="AI57" s="2"/>
    </row>
    <row r="58" spans="2:35" ht="18" hidden="1" customHeight="1" x14ac:dyDescent="0.2">
      <c r="B58" s="365"/>
      <c r="C58" s="68"/>
      <c r="D58" s="12"/>
      <c r="E58" s="3"/>
      <c r="F58" s="3"/>
      <c r="G58" s="94"/>
      <c r="H58" s="25"/>
      <c r="I58" s="3"/>
      <c r="J58" s="25"/>
      <c r="K58" s="3"/>
      <c r="L58" s="25"/>
      <c r="M58" s="25"/>
      <c r="N58" s="25"/>
      <c r="O58" s="25"/>
      <c r="P58" s="25"/>
      <c r="Q58" s="3"/>
      <c r="R58" s="3"/>
      <c r="S58" s="3"/>
      <c r="T58" s="3"/>
      <c r="U58" s="3"/>
      <c r="V58" s="3"/>
      <c r="W58" s="22"/>
      <c r="X58" s="22"/>
      <c r="Y58" s="22">
        <v>850.17712499999993</v>
      </c>
      <c r="Z58" s="10"/>
      <c r="AA58" s="2"/>
      <c r="AB58" s="2"/>
      <c r="AC58" s="2"/>
      <c r="AD58" s="2"/>
      <c r="AE58" s="2"/>
      <c r="AF58" s="2"/>
      <c r="AG58" s="2"/>
      <c r="AH58" s="2"/>
      <c r="AI58" s="2"/>
    </row>
    <row r="59" spans="2:35" ht="15.75" customHeight="1" x14ac:dyDescent="0.2">
      <c r="B59" s="351" t="s">
        <v>120</v>
      </c>
      <c r="C59" s="351"/>
      <c r="D59" s="351"/>
      <c r="E59" s="16">
        <f>SUM(E20:E58)</f>
        <v>718871</v>
      </c>
      <c r="F59" s="16">
        <f>SUM(F20:F58)</f>
        <v>13283216</v>
      </c>
      <c r="G59" s="16">
        <f>SUM(G20:G58)</f>
        <v>19496961</v>
      </c>
      <c r="H59" s="30">
        <f>AVERAGE(H20:H58)</f>
        <v>4.2771352909124087E-2</v>
      </c>
      <c r="I59" s="16">
        <f>SUM(I20:I58)</f>
        <v>695447</v>
      </c>
      <c r="J59" s="98">
        <f>IFERROR(AVERAGE(J20:J58),0)</f>
        <v>5.6448434993702702E-2</v>
      </c>
      <c r="K59" s="16">
        <f>SUM(K20:K58)</f>
        <v>306332</v>
      </c>
      <c r="L59" s="30">
        <f>IFERROR(AVERAGE(L20:L58),0)</f>
        <v>2.4872273740650149E-2</v>
      </c>
      <c r="M59" s="30">
        <f>IFERROR(AVERAGE(M20:M58),0)</f>
        <v>0.10770124844052162</v>
      </c>
      <c r="N59" s="30">
        <f>IFERROR(AVERAGE(N20:N58),0)</f>
        <v>5.7972807425701184E-2</v>
      </c>
      <c r="O59" s="30">
        <f>IFERROR(AVERAGE(O20:O58),0)</f>
        <v>4.0359567880127012E-2</v>
      </c>
      <c r="P59" s="30">
        <f>IFERROR(AVERAGE(P20:P58),0)</f>
        <v>2.9154655173683906E-2</v>
      </c>
      <c r="Q59" s="16">
        <f>SUM(Q20:Q58)</f>
        <v>585</v>
      </c>
      <c r="R59" s="16">
        <f t="shared" ref="R59:V59" si="11">SUM(R20:R58)</f>
        <v>8674</v>
      </c>
      <c r="S59" s="16">
        <f t="shared" si="11"/>
        <v>49</v>
      </c>
      <c r="T59" s="16">
        <f t="shared" si="11"/>
        <v>3408</v>
      </c>
      <c r="U59" s="16">
        <f t="shared" si="11"/>
        <v>165</v>
      </c>
      <c r="V59" s="16">
        <f t="shared" si="11"/>
        <v>68538</v>
      </c>
      <c r="W59" s="31">
        <f>SUM(W20:W58)</f>
        <v>31654.45</v>
      </c>
      <c r="X59" s="24">
        <f>SUM(X20:X58)</f>
        <v>23326.786750000003</v>
      </c>
      <c r="Y59" s="31">
        <f>W59-X59</f>
        <v>8327.6632499999978</v>
      </c>
      <c r="Z59" s="78">
        <f>AVERAGE(Z20:Z58)</f>
        <v>3.9736842105263159</v>
      </c>
      <c r="AA59" s="2"/>
      <c r="AB59" s="2"/>
      <c r="AC59" s="2"/>
      <c r="AD59" s="2"/>
      <c r="AE59" s="2"/>
      <c r="AF59" s="2"/>
      <c r="AG59" s="2"/>
      <c r="AH59" s="2"/>
      <c r="AI59" s="2"/>
    </row>
    <row r="60" spans="2:35" ht="15.75" customHeight="1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6"/>
      <c r="Z60" s="2"/>
      <c r="AA60" s="2"/>
      <c r="AB60" s="2"/>
      <c r="AC60" s="2"/>
      <c r="AD60" s="2"/>
      <c r="AE60" s="2"/>
      <c r="AF60" s="2"/>
      <c r="AG60" s="2"/>
      <c r="AH60" s="2"/>
    </row>
    <row r="61" spans="2:35" ht="12.75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6"/>
      <c r="Z61" s="2"/>
      <c r="AA61" s="2"/>
      <c r="AB61" s="2"/>
      <c r="AC61" s="2"/>
      <c r="AD61" s="2"/>
      <c r="AE61" s="2"/>
      <c r="AF61" s="2"/>
      <c r="AG61" s="2"/>
      <c r="AH61" s="2"/>
    </row>
    <row r="62" spans="2:35" ht="12.75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6"/>
      <c r="Z62" s="2"/>
      <c r="AA62" s="2"/>
      <c r="AB62" s="2"/>
      <c r="AC62" s="2"/>
      <c r="AD62" s="2"/>
      <c r="AE62" s="2"/>
      <c r="AF62" s="2"/>
      <c r="AG62" s="2"/>
      <c r="AH62" s="2"/>
    </row>
    <row r="63" spans="2:35" ht="12.75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6"/>
      <c r="Z63" s="2"/>
      <c r="AA63" s="2"/>
      <c r="AB63" s="2"/>
      <c r="AC63" s="2"/>
      <c r="AD63" s="2"/>
      <c r="AE63" s="2"/>
      <c r="AF63" s="2"/>
      <c r="AG63" s="2"/>
      <c r="AH63" s="2"/>
    </row>
    <row r="64" spans="2:35" ht="12.75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6"/>
      <c r="Z64" s="2"/>
      <c r="AA64" s="2"/>
      <c r="AB64" s="2"/>
      <c r="AC64" s="2"/>
      <c r="AD64" s="2"/>
      <c r="AE64" s="2"/>
      <c r="AF64" s="2"/>
      <c r="AG64" s="2"/>
      <c r="AH64" s="2"/>
    </row>
    <row r="65" spans="2:34" ht="12.75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6"/>
      <c r="Z65" s="2"/>
      <c r="AA65" s="2"/>
      <c r="AB65" s="2"/>
      <c r="AC65" s="2"/>
      <c r="AD65" s="2"/>
      <c r="AE65" s="2"/>
      <c r="AF65" s="2"/>
      <c r="AG65" s="2"/>
      <c r="AH65" s="2"/>
    </row>
    <row r="66" spans="2:34" ht="12.75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6"/>
      <c r="Z66" s="2"/>
      <c r="AA66" s="2"/>
      <c r="AB66" s="2"/>
      <c r="AC66" s="2"/>
      <c r="AD66" s="2"/>
      <c r="AE66" s="2"/>
      <c r="AF66" s="2"/>
      <c r="AG66" s="2"/>
      <c r="AH66" s="2"/>
    </row>
    <row r="67" spans="2:34" ht="12.75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6"/>
      <c r="Z67" s="2"/>
      <c r="AA67" s="2"/>
      <c r="AB67" s="2"/>
      <c r="AC67" s="2"/>
      <c r="AD67" s="2"/>
      <c r="AE67" s="2"/>
      <c r="AF67" s="2"/>
      <c r="AG67" s="2"/>
      <c r="AH67" s="2"/>
    </row>
    <row r="68" spans="2:34" ht="12.75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6"/>
      <c r="Z68" s="2"/>
      <c r="AA68" s="2"/>
      <c r="AB68" s="2"/>
      <c r="AC68" s="2"/>
      <c r="AD68" s="2"/>
      <c r="AE68" s="2"/>
      <c r="AF68" s="2"/>
      <c r="AG68" s="2"/>
      <c r="AH68" s="2"/>
    </row>
    <row r="69" spans="2:34" ht="12.75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6"/>
      <c r="Z69" s="2"/>
      <c r="AA69" s="2"/>
      <c r="AB69" s="2"/>
      <c r="AC69" s="2"/>
      <c r="AD69" s="2"/>
      <c r="AE69" s="2"/>
      <c r="AF69" s="2"/>
      <c r="AG69" s="2"/>
      <c r="AH69" s="2"/>
    </row>
    <row r="70" spans="2:34" ht="12.75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6"/>
      <c r="Z70" s="2"/>
      <c r="AA70" s="2"/>
      <c r="AB70" s="2"/>
      <c r="AC70" s="2"/>
      <c r="AD70" s="2"/>
      <c r="AE70" s="2"/>
      <c r="AF70" s="2"/>
      <c r="AG70" s="2"/>
      <c r="AH70" s="2"/>
    </row>
    <row r="71" spans="2:34" ht="12.75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6"/>
      <c r="Z71" s="2"/>
      <c r="AA71" s="2"/>
      <c r="AB71" s="2"/>
      <c r="AC71" s="2"/>
      <c r="AD71" s="2"/>
      <c r="AE71" s="2"/>
      <c r="AF71" s="2"/>
      <c r="AG71" s="2"/>
      <c r="AH71" s="2"/>
    </row>
    <row r="72" spans="2:34" ht="12.75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6"/>
      <c r="Z72" s="2"/>
      <c r="AA72" s="2"/>
      <c r="AB72" s="2"/>
      <c r="AC72" s="2"/>
      <c r="AD72" s="2"/>
      <c r="AE72" s="2"/>
      <c r="AF72" s="2"/>
      <c r="AG72" s="2"/>
      <c r="AH72" s="2"/>
    </row>
    <row r="73" spans="2:34" ht="12.75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6"/>
      <c r="Z73" s="2"/>
      <c r="AA73" s="2"/>
      <c r="AB73" s="2"/>
      <c r="AC73" s="2"/>
      <c r="AD73" s="2"/>
      <c r="AE73" s="2"/>
      <c r="AF73" s="2"/>
      <c r="AG73" s="2"/>
      <c r="AH73" s="2"/>
    </row>
    <row r="74" spans="2:34" ht="12.7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6"/>
      <c r="Z74" s="2"/>
      <c r="AA74" s="2"/>
      <c r="AB74" s="2"/>
      <c r="AC74" s="2"/>
      <c r="AD74" s="2"/>
      <c r="AE74" s="2"/>
      <c r="AF74" s="2"/>
      <c r="AG74" s="2"/>
      <c r="AH74" s="2"/>
    </row>
    <row r="75" spans="2:34" ht="12.75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6"/>
      <c r="Z75" s="2"/>
      <c r="AA75" s="2"/>
      <c r="AB75" s="2"/>
      <c r="AC75" s="2"/>
      <c r="AD75" s="2"/>
      <c r="AE75" s="2"/>
      <c r="AF75" s="2"/>
      <c r="AG75" s="2"/>
      <c r="AH75" s="2"/>
    </row>
    <row r="76" spans="2:34" ht="12.75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6"/>
      <c r="Z76" s="2"/>
      <c r="AA76" s="2"/>
      <c r="AB76" s="2"/>
      <c r="AC76" s="2"/>
      <c r="AD76" s="2"/>
      <c r="AE76" s="2"/>
      <c r="AF76" s="2"/>
      <c r="AG76" s="2"/>
      <c r="AH76" s="2"/>
    </row>
    <row r="77" spans="2:34" ht="12.75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6"/>
      <c r="Z77" s="2"/>
      <c r="AA77" s="2"/>
      <c r="AB77" s="2"/>
      <c r="AC77" s="2"/>
      <c r="AD77" s="2"/>
      <c r="AE77" s="2"/>
      <c r="AF77" s="2"/>
      <c r="AG77" s="2"/>
      <c r="AH77" s="2"/>
    </row>
    <row r="78" spans="2:34" ht="12.75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6"/>
      <c r="Z78" s="2"/>
      <c r="AA78" s="2"/>
      <c r="AB78" s="2"/>
      <c r="AC78" s="2"/>
      <c r="AD78" s="2"/>
      <c r="AE78" s="2"/>
      <c r="AF78" s="2"/>
      <c r="AG78" s="2"/>
      <c r="AH78" s="2"/>
    </row>
    <row r="79" spans="2:34" ht="12.75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6"/>
      <c r="Z79" s="2"/>
      <c r="AA79" s="2"/>
      <c r="AB79" s="2"/>
      <c r="AC79" s="2"/>
      <c r="AD79" s="2"/>
      <c r="AE79" s="2"/>
      <c r="AF79" s="2"/>
      <c r="AG79" s="2"/>
      <c r="AH79" s="2"/>
    </row>
    <row r="80" spans="2:34" ht="12.75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6"/>
      <c r="Z80" s="2"/>
      <c r="AA80" s="2"/>
      <c r="AB80" s="2"/>
      <c r="AC80" s="2"/>
      <c r="AD80" s="2"/>
      <c r="AE80" s="2"/>
      <c r="AF80" s="2"/>
      <c r="AG80" s="2"/>
      <c r="AH80" s="2"/>
    </row>
    <row r="81" spans="2:34" ht="12.75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6"/>
      <c r="Z81" s="2"/>
      <c r="AA81" s="2"/>
      <c r="AB81" s="2"/>
      <c r="AC81" s="2"/>
      <c r="AD81" s="2"/>
      <c r="AE81" s="2"/>
      <c r="AF81" s="2"/>
      <c r="AG81" s="2"/>
      <c r="AH81" s="2"/>
    </row>
    <row r="82" spans="2:34" ht="12.75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6"/>
      <c r="Z82" s="2"/>
      <c r="AA82" s="2"/>
      <c r="AB82" s="2"/>
      <c r="AC82" s="2"/>
      <c r="AD82" s="2"/>
      <c r="AE82" s="2"/>
      <c r="AF82" s="2"/>
      <c r="AG82" s="2"/>
      <c r="AH82" s="2"/>
    </row>
    <row r="83" spans="2:34" ht="12.75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6"/>
      <c r="Z83" s="2"/>
      <c r="AA83" s="2"/>
      <c r="AB83" s="2"/>
      <c r="AC83" s="2"/>
      <c r="AD83" s="2"/>
      <c r="AE83" s="2"/>
      <c r="AF83" s="2"/>
      <c r="AG83" s="2"/>
      <c r="AH83" s="2"/>
    </row>
    <row r="84" spans="2:34" ht="12.75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6"/>
      <c r="Z84" s="2"/>
      <c r="AA84" s="2"/>
      <c r="AB84" s="2"/>
      <c r="AC84" s="2"/>
      <c r="AD84" s="2"/>
      <c r="AE84" s="2"/>
      <c r="AF84" s="2"/>
      <c r="AG84" s="2"/>
      <c r="AH84" s="2"/>
    </row>
    <row r="85" spans="2:34" ht="12.75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6"/>
      <c r="Z85" s="2"/>
      <c r="AA85" s="2"/>
      <c r="AB85" s="2"/>
      <c r="AC85" s="2"/>
      <c r="AD85" s="2"/>
      <c r="AE85" s="2"/>
      <c r="AF85" s="2"/>
      <c r="AG85" s="2"/>
      <c r="AH85" s="2"/>
    </row>
    <row r="86" spans="2:34" ht="12.75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6"/>
      <c r="Z86" s="2"/>
      <c r="AA86" s="2"/>
      <c r="AB86" s="2"/>
      <c r="AC86" s="2"/>
      <c r="AD86" s="2"/>
      <c r="AE86" s="2"/>
      <c r="AF86" s="2"/>
      <c r="AG86" s="2"/>
      <c r="AH86" s="2"/>
    </row>
    <row r="87" spans="2:34" ht="12.75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6"/>
      <c r="Z87" s="2"/>
      <c r="AA87" s="2"/>
      <c r="AB87" s="2"/>
      <c r="AC87" s="2"/>
      <c r="AD87" s="2"/>
      <c r="AE87" s="2"/>
      <c r="AF87" s="2"/>
      <c r="AG87" s="2"/>
      <c r="AH87" s="2"/>
    </row>
    <row r="88" spans="2:34" ht="12.75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6"/>
      <c r="Z88" s="2"/>
      <c r="AA88" s="2"/>
      <c r="AB88" s="2"/>
      <c r="AC88" s="2"/>
      <c r="AD88" s="2"/>
      <c r="AE88" s="2"/>
      <c r="AF88" s="2"/>
      <c r="AG88" s="2"/>
      <c r="AH88" s="2"/>
    </row>
    <row r="89" spans="2:34" ht="12.75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6"/>
      <c r="Z89" s="2"/>
      <c r="AA89" s="2"/>
      <c r="AB89" s="2"/>
      <c r="AC89" s="2"/>
      <c r="AD89" s="2"/>
      <c r="AE89" s="2"/>
      <c r="AF89" s="2"/>
      <c r="AG89" s="2"/>
      <c r="AH89" s="2"/>
    </row>
    <row r="90" spans="2:34" ht="12.75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6"/>
      <c r="Z90" s="2"/>
      <c r="AA90" s="2"/>
      <c r="AB90" s="2"/>
      <c r="AC90" s="2"/>
      <c r="AD90" s="2"/>
      <c r="AE90" s="2"/>
      <c r="AF90" s="2"/>
      <c r="AG90" s="2"/>
      <c r="AH90" s="2"/>
    </row>
    <row r="91" spans="2:34" ht="12.75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6"/>
      <c r="Z91" s="2"/>
      <c r="AA91" s="2"/>
      <c r="AB91" s="2"/>
      <c r="AC91" s="2"/>
      <c r="AD91" s="2"/>
      <c r="AE91" s="2"/>
      <c r="AF91" s="2"/>
      <c r="AG91" s="2"/>
      <c r="AH91" s="2"/>
    </row>
    <row r="92" spans="2:34" ht="12.75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6"/>
      <c r="Z92" s="2"/>
      <c r="AA92" s="2"/>
      <c r="AB92" s="2"/>
      <c r="AC92" s="2"/>
      <c r="AD92" s="2"/>
      <c r="AE92" s="2"/>
      <c r="AF92" s="2"/>
      <c r="AG92" s="2"/>
      <c r="AH92" s="2"/>
    </row>
    <row r="93" spans="2:34" ht="12.75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6"/>
      <c r="Z93" s="2"/>
      <c r="AA93" s="2"/>
      <c r="AB93" s="2"/>
      <c r="AC93" s="2"/>
      <c r="AD93" s="2"/>
      <c r="AE93" s="2"/>
      <c r="AF93" s="2"/>
      <c r="AG93" s="2"/>
      <c r="AH93" s="2"/>
    </row>
    <row r="94" spans="2:34" ht="12.75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6"/>
      <c r="Z94" s="2"/>
      <c r="AA94" s="2"/>
      <c r="AB94" s="2"/>
      <c r="AC94" s="2"/>
      <c r="AD94" s="2"/>
      <c r="AE94" s="2"/>
      <c r="AF94" s="2"/>
      <c r="AG94" s="2"/>
      <c r="AH94" s="2"/>
    </row>
    <row r="95" spans="2:34" ht="12.75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6"/>
      <c r="Z95" s="2"/>
      <c r="AA95" s="2"/>
      <c r="AB95" s="2"/>
      <c r="AC95" s="2"/>
      <c r="AD95" s="2"/>
      <c r="AE95" s="2"/>
      <c r="AF95" s="2"/>
      <c r="AG95" s="2"/>
      <c r="AH95" s="2"/>
    </row>
    <row r="96" spans="2:34" ht="12.75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6"/>
      <c r="Z96" s="2"/>
      <c r="AA96" s="2"/>
      <c r="AB96" s="2"/>
      <c r="AC96" s="2"/>
      <c r="AD96" s="2"/>
      <c r="AE96" s="2"/>
      <c r="AF96" s="2"/>
      <c r="AG96" s="2"/>
      <c r="AH96" s="2"/>
    </row>
    <row r="97" spans="2:34" ht="12.75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6"/>
      <c r="Z97" s="2"/>
      <c r="AA97" s="2"/>
      <c r="AB97" s="2"/>
      <c r="AC97" s="2"/>
      <c r="AD97" s="2"/>
      <c r="AE97" s="2"/>
      <c r="AF97" s="2"/>
      <c r="AG97" s="2"/>
      <c r="AH97" s="2"/>
    </row>
    <row r="98" spans="2:34" ht="12.75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6"/>
      <c r="Z98" s="2"/>
      <c r="AA98" s="2"/>
      <c r="AB98" s="2"/>
      <c r="AC98" s="2"/>
      <c r="AD98" s="2"/>
      <c r="AE98" s="2"/>
      <c r="AF98" s="2"/>
      <c r="AG98" s="2"/>
      <c r="AH98" s="2"/>
    </row>
    <row r="99" spans="2:34" ht="12.75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6"/>
      <c r="Z99" s="2"/>
      <c r="AA99" s="2"/>
      <c r="AB99" s="2"/>
      <c r="AC99" s="2"/>
      <c r="AD99" s="2"/>
      <c r="AE99" s="2"/>
      <c r="AF99" s="2"/>
      <c r="AG99" s="2"/>
      <c r="AH99" s="2"/>
    </row>
    <row r="100" spans="2:34" ht="12.75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6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2:34" ht="12.75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6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2:34" ht="12.75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6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2:34" ht="12.75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6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2:34" ht="12.75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6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2:34" ht="12.75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6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2:34" ht="12.75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6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2:34" ht="12.75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6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2:34" ht="12.75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6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2:34" ht="12.75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6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2:34" ht="12.75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6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2:34" ht="12.75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6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2:34" ht="12.75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6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2:34" ht="12.75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6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2:34" ht="12.75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6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2:34" ht="12.75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6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2:34" ht="12.75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6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2:34" ht="12.75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6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2:34" ht="12.75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6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2:34" ht="12.75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6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2:34" ht="12.75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6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2:34" ht="12.75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6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2:34" ht="12.75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6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2:34" ht="12.75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6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2:34" ht="12.75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6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2:34" ht="12.75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6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2:34" ht="12.75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6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2:34" ht="12.75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6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2:34" ht="12.75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6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2:34" ht="12.75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6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2:34" ht="12.75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6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2:34" ht="12.75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6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2:34" ht="12.75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6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2:34" ht="12.75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6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2:34" ht="12.75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6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2:34" ht="12.75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6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2:34" ht="12.75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6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2:34" ht="12.75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6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2:34" ht="12.75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6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2:34" ht="12.75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6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2:34" ht="12.75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6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2:34" ht="12.75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6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2:34" ht="12.75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6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2:34" ht="12.75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6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2:34" ht="12.75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6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2:34" ht="12.75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6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2:34" ht="12.75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6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2:34" ht="12.75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6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2:34" ht="12.75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6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2:34" ht="12.75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6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2:34" ht="12.75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6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2:34" ht="12.75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6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2:34" ht="12.75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6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2:34" ht="12.75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6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2:34" ht="12.75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6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2:34" ht="12.75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6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2:34" ht="12.75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6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2:34" ht="12.75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6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2:34" ht="12.75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6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2:34" ht="12.75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6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2:34" ht="12.75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6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2:34" ht="12.75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6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2:34" ht="12.75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6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2:34" ht="12.75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6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2:34" ht="12.75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6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2:34" ht="12.75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6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2:34" ht="12.75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6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2:34" ht="12.75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6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2:34" ht="12.75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6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2:34" ht="12.75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6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2:34" ht="12.75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6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2:34" ht="12.75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6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2:34" ht="12.75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6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2:34" ht="12.75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6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2:34" ht="12.75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6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2:34" ht="12.75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6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2:34" ht="12.75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6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2:34" ht="12.75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6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2:34" ht="12.75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6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2:34" ht="12.75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6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2:34" ht="12.75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6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2:34" ht="12.75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6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2:34" ht="12.75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6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2:34" ht="12.75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6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2:34" ht="12.75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6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2:34" ht="12.75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6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2:34" ht="12.75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6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2:34" ht="12.75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6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2:34" ht="12.75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6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2:34" ht="12.75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6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2:34" ht="12.75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6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2:34" ht="12.75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6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2:34" ht="12.75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6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2:34" ht="12.75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6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2:34" ht="12.75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6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2:34" ht="12.75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6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2:34" ht="12.75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6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2:34" ht="12.75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6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2:34" ht="12.75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6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2:34" ht="12.75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6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2:34" ht="12.75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6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2:34" ht="12.75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6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2:34" ht="12.75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6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2:34" ht="12.75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6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2:34" ht="12.75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6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2:34" ht="12.75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6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2:34" ht="12.75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6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2:34" ht="12.75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6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2:34" ht="12.75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6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2:34" ht="12.75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6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2:34" ht="12.75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6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2:34" ht="12.75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6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2:34" ht="12.75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6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2:34" ht="12.75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6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2:34" ht="12.75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6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2:34" ht="12.75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6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2:34" ht="12.75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6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2:34" ht="12.75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6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2:34" ht="12.75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6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2:34" ht="12.75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6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2:34" ht="12.75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6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2:34" ht="12.75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6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2:34" ht="12.75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6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2:34" ht="12.75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6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2:34" ht="12.75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6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2:34" ht="12.75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6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2:34" ht="12.75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6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2:34" ht="12.75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6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2:34" ht="12.75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6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2:34" ht="12.75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6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2:34" ht="12.75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6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2:34" ht="12.75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6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2:34" ht="12.75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6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2:34" ht="12.75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6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2:34" ht="12.75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6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2:34" ht="12.75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6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2:34" ht="12.75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6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2:34" ht="12.75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6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2:34" ht="12.75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6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2:34" ht="12.75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6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2:34" ht="12.75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6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2:34" ht="12.75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6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2:34" ht="12.75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6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2:34" ht="12.75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6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2:34" ht="12.75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6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2:34" ht="12.75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6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2:34" ht="12.75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6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2:34" ht="12.75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6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2:34" ht="12.75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6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2:34" ht="12.75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6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2:34" ht="12.75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6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2:34" ht="12.75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6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2:34" ht="12.75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6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2:34" ht="12.75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6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2:34" ht="12.75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6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2:34" ht="12.75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6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2:34" ht="12.75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6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2:34" ht="12.75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6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2:34" ht="12.75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6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2:34" ht="12.75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6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2:34" ht="12.75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6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2:34" ht="12.75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6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2:34" ht="12.75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6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2:34" ht="12.75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6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2:34" ht="12.75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6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2:34" ht="12.75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6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2:34" ht="12.75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6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2:34" ht="12.75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6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2:34" ht="12.75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6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2:34" ht="12.75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6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2:34" ht="12.75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6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2:34" ht="12.75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6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2:34" ht="12.75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6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2:34" ht="12.75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6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2:34" ht="12.75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6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2:34" ht="12.75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6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2:34" ht="12.75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6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2:34" ht="12.75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6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2:34" ht="12.75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6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2:34" ht="12.75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6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2:34" ht="12.75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6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2:34" ht="12.75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6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2:34" ht="12.75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6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2:34" ht="12.75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6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2:34" ht="12.75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6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2:34" ht="12.75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6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2:34" ht="12.75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6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2:34" ht="12.75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6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2:34" ht="12.75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6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2:34" ht="12.75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6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2:34" ht="12.75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6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2:34" ht="12.75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6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2:34" ht="12.75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6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2:34" ht="12.75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6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2:34" ht="12.75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6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2:34" ht="12.75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6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2:34" ht="12.75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6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2:34" ht="12.75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6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2:34" ht="12.75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6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2:34" ht="12.75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6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2:34" ht="12.75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6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2:34" ht="12.75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6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2:34" ht="12.75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6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2:34" ht="12.75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6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2:34" ht="12.75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6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2:34" ht="12.75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6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2:34" ht="12.75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6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2:34" ht="12.75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6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2:34" ht="12.75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6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2:34" ht="12.75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6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2:34" ht="12.75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6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2:34" ht="12.75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6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2:34" ht="12.75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6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2:34" ht="12.75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6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2:34" ht="12.75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6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2:34" ht="12.75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6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2:34" ht="12.75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6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2:34" ht="12.75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6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2:34" ht="12.75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6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2:34" ht="12.75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6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2:34" ht="12.75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6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2:34" ht="12.75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6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2:34" ht="12.75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6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2:34" ht="12.75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6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2:34" ht="12.75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6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2:34" ht="12.75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6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2:34" ht="12.75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6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2:34" ht="12.75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6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2:34" ht="12.75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6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2:34" ht="12.75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6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2:34" ht="12.75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6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2:34" ht="12.75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6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2:34" ht="12.75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6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2:34" ht="12.75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6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2:34" ht="12.75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6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2:34" ht="12.75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6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2:34" ht="12.75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6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2:34" ht="12.75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6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2:34" ht="12.75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6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2:34" ht="12.75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6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2:34" ht="12.75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6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2:34" ht="12.75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6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2:34" ht="12.75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6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2:34" ht="12.75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6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2:34" ht="12.75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6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2:34" ht="12.75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6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2:34" ht="12.75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6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2:34" ht="12.75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6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2:34" ht="12.75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6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2:34" ht="12.75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6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2:34" ht="12.75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6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2:34" ht="12.75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6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2:34" ht="12.75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6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2:34" ht="12.75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6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2:34" ht="12.75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6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2:34" ht="12.75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6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2:34" ht="12.75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6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2:34" ht="12.75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6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2:34" ht="12.75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6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2:34" ht="12.75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6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2:34" ht="12.75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6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2:34" ht="12.75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6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2:34" ht="12.75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6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2:34" ht="12.75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6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2:34" ht="12.75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6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2:34" ht="12.75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6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2:34" ht="12.75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6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2:34" ht="12.75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6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2:34" ht="12.75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6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2:34" ht="12.75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6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2:34" ht="12.75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6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2:34" ht="12.75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6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2:34" ht="12.75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6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2:34" ht="12.75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6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2:34" ht="12.75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6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2:34" ht="12.75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6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2:34" ht="12.75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6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2:34" ht="12.75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6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2:34" ht="12.75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6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2:34" ht="12.75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6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2:34" ht="12.75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6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2:34" ht="12.75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6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2:34" ht="12.75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6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2:34" ht="12.75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6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2:34" ht="12.75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6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2:34" ht="12.75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6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2:34" ht="12.75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6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2:34" ht="12.75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6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2:34" ht="12.75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6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2:34" ht="12.75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6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2:34" ht="12.75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6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2:34" ht="12.75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6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2:34" ht="12.75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6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2:34" ht="12.75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6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2:34" ht="12.75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6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2:34" ht="12.75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6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2:34" ht="12.75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6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2:34" ht="12.75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6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2:34" ht="12.75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6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2:34" ht="12.75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6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2:34" ht="12.75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6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2:34" ht="12.75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6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2:34" ht="12.75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6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2:34" ht="12.75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6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2:34" ht="12.75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6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2:34" ht="12.75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6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2:34" ht="12.75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6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2:34" ht="12.75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6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2:34" ht="12.75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6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2:34" ht="12.75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6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2:34" ht="12.75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6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2:34" ht="12.75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6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2:34" ht="12.75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6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2:34" ht="12.75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6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2:34" ht="12.75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6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2:34" ht="12.75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6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2:34" ht="12.75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6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2:34" ht="12.75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6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2:34" ht="12.75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6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2:34" ht="12.75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6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2:34" ht="12.75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6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2:34" ht="12.75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6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2:34" ht="12.75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6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2:34" ht="12.75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6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2:34" ht="12.75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6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2:34" ht="12.75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6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2:34" ht="12.75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6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2:34" ht="12.75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6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2:34" ht="12.75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6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2:34" ht="12.75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6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2:34" ht="12.75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6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2:34" ht="12.75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6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2:34" ht="12.75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6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2:34" ht="12.75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6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2:34" ht="12.75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6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2:34" ht="12.75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6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2:34" ht="12.75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6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2:34" ht="12.75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6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2:34" ht="12.75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6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2:34" ht="12.75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6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2:34" ht="12.75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6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2:34" ht="12.75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6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2:34" ht="12.75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6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2:34" ht="12.75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6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2:34" ht="12.75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6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2:34" ht="12.75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6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2:34" ht="12.75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6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2:34" ht="12.75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6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2:34" ht="12.75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6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2:34" ht="12.75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6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2:34" ht="12.75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6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2:34" ht="12.75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6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2:34" ht="12.75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6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2:34" ht="12.75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6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2:34" ht="12.75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6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2:34" ht="12.75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6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2:34" ht="12.75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6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2:34" ht="12.75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6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2:34" ht="12.75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6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2:34" ht="12.75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6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2:34" ht="12.75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6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2:34" ht="12.75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6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2:34" ht="12.75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6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2:34" ht="12.75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6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2:34" ht="12.75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6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2:34" ht="12.75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6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2:34" ht="12.75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6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2:34" ht="12.75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6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2:34" ht="12.75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6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2:34" ht="12.75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6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2:34" ht="12.75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6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2:34" ht="12.75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6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2:34" ht="12.75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6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2:34" ht="12.75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6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2:34" ht="12.75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6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2:34" ht="12.75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6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2:34" ht="12.75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6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2:34" ht="12.75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6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2:34" ht="12.75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6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2:34" ht="12.75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6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2:34" ht="12.75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6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2:34" ht="12.75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6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2:34" ht="12.75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6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2:34" ht="12.75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6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2:34" ht="12.75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6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2:34" ht="12.75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6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2:34" ht="12.75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6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2:34" ht="12.75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6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2:34" ht="12.75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6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2:34" ht="12.75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6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2:34" ht="12.75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6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2:34" ht="12.75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6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2:34" ht="12.75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6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2:34" ht="12.75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6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2:34" ht="12.75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6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2:34" ht="12.75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6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2:34" ht="12.75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6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2:34" ht="12.75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6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2:34" ht="12.75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6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2:34" ht="12.75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6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2:34" ht="12.75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6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2:34" ht="12.75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6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2:34" ht="12.75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6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2:34" ht="12.75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6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2:34" ht="12.75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6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2:34" ht="12.75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6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2:34" ht="12.75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6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2:34" ht="12.75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6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2:34" ht="12.75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6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2:34" ht="12.75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6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2:34" ht="12.75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6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2:34" ht="12.75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6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2:34" ht="12.75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6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2:34" ht="12.75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6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2:34" ht="12.75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6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2:34" ht="12.75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6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2:34" ht="12.75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6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2:34" ht="12.75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6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2:34" ht="12.75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6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2:34" ht="12.75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6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2:34" ht="12.75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6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2:34" ht="12.75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6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2:34" ht="12.75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6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2:34" ht="12.75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6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2:34" ht="12.75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6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2:34" ht="12.75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6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2:34" ht="12.75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6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2:34" ht="12.75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6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2:34" ht="12.75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6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2:34" ht="12.75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6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2:34" ht="12.75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6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2:34" ht="12.75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6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2:34" ht="12.75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6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2:34" ht="12.75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6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2:34" ht="12.75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6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2:34" ht="12.75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6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2:34" ht="12.75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6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2:34" ht="12.75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6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2:34" ht="12.75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6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2:34" ht="12.75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6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2:34" ht="12.75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6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2:34" ht="12.75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6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2:34" ht="12.75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6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2:34" ht="12.75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6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2:34" ht="12.75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6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2:34" ht="12.75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6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2:34" ht="12.75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6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2:34" ht="12.75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6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2:34" ht="12.75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6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2:34" ht="12.75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6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2:34" ht="12.75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6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2:34" ht="12.75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6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2:34" ht="12.75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6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2:34" ht="12.75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6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2:34" ht="12.75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6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2:34" ht="12.75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6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2:34" ht="12.75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6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2:34" ht="12.75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6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2:34" ht="12.75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6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2:34" ht="12.75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6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2:34" ht="12.75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6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2:34" ht="12.75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6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2:34" ht="12.75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6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2:34" ht="12.75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6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2:34" ht="12.75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6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2:34" ht="12.75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6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2:34" ht="12.75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6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2:34" ht="12.75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6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2:34" ht="12.75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6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2:34" ht="12.75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6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2:34" ht="12.75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6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2:34" ht="12.75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6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2:34" ht="12.75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6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2:34" ht="12.75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6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2:34" ht="12.75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6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2:34" ht="12.75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6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2:34" ht="12.75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6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2:34" ht="12.75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6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2:34" ht="12.75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6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2:34" ht="12.75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6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2:34" ht="12.75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6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2:34" ht="12.75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6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2:34" ht="12.75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6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2:34" ht="12.75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6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2:34" ht="12.75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6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2:34" ht="12.75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6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2:34" ht="12.75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6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2:34" ht="12.75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6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2:34" ht="12.75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6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2:34" ht="12.75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6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2:34" ht="12.75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6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2:34" ht="12.75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6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2:34" ht="12.75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6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2:34" ht="12.75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6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2:34" ht="12.75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6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2:34" ht="12.75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6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2:34" ht="12.75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6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2:34" ht="12.75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6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2:34" ht="12.75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6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2:34" ht="12.75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6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2:34" ht="12.75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6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2:34" ht="12.75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6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2:34" ht="12.75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6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2:34" ht="12.75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6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2:34" ht="12.75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6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2:34" ht="12.75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6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2:34" ht="12.75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6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2:34" ht="12.75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6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2:34" ht="12.75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6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2:34" ht="12.75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6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2:34" ht="12.75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6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2:34" ht="12.75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6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2:34" ht="12.75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6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2:34" ht="12.75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6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2:34" ht="12.75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6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2:34" ht="12.75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6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2:34" ht="12.75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6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2:34" ht="12.75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6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2:34" ht="12.75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6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2:34" ht="12.75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6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2:34" ht="12.75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6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2:34" ht="12.75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6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2:34" ht="12.75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6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2:34" ht="12.75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6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2:34" ht="12.75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6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2:34" ht="12.75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6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2:34" ht="12.75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6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2:34" ht="12.75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6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2:34" ht="12.75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6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2:34" ht="12.75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6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2:34" ht="12.75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6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2:34" ht="12.75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6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2:34" ht="12.75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6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2:34" ht="12.75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6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2:34" ht="12.75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6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2:34" ht="12.75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6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2:34" ht="12.75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6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2:34" ht="12.75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6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2:34" ht="12.75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6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2:34" ht="12.75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6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2:34" ht="12.75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6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2:34" ht="12.75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6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2:34" ht="12.75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6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2:34" ht="12.75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6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2:34" ht="12.75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6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2:34" ht="12.75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6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2:34" ht="12.75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6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2:34" ht="12.75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6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2:34" ht="12.75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6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2:34" ht="12.75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6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2:34" ht="12.75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6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2:34" ht="12.75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6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2:34" ht="12.75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6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2:34" ht="12.75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6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2:34" ht="12.75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6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2:34" ht="12.75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6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2:34" ht="12.75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6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2:34" ht="12.75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6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2:34" ht="12.75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6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2:34" ht="12.75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6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2:34" ht="12.75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6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2:34" ht="12.75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6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2:34" ht="12.75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6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2:34" ht="12.75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6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2:34" ht="12.75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6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2:34" ht="12.75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6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2:34" ht="12.75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6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2:34" ht="12.75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6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2:34" ht="12.75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6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2:34" ht="12.75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6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2:34" ht="12.75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6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2:34" ht="12.75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6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2:34" ht="12.75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6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2:34" ht="12.75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6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2:34" ht="12.75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6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2:34" ht="12.75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6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2:34" ht="12.75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6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2:34" ht="12.75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6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2:34" ht="12.75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6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2:34" ht="12.75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6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2:34" ht="12.75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6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2:34" ht="12.75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6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2:34" ht="12.75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6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2:34" ht="12.75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6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2:34" ht="12.75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6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2:34" ht="12.75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6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2:34" ht="12.75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6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2:34" ht="12.75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6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2:34" ht="12.75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6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2:34" ht="12.75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6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2:34" ht="12.75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6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2:34" ht="12.75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6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2:34" ht="12.75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6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2:34" ht="12.75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6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2:34" ht="12.75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6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2:34" ht="12.75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6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2:34" ht="12.75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6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2:34" ht="12.75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6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2:34" ht="12.75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6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2:34" ht="12.75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6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2:34" ht="12.75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6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2:34" ht="12.75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6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2:34" ht="12.75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6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2:34" ht="12.75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6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2:34" ht="12.75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6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2:34" ht="12.75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6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2:34" ht="12.75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6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2:34" ht="12.75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6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2:34" ht="12.75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6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2:34" ht="12.75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6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2:34" ht="12.75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6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2:34" ht="12.75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6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2:34" ht="12.75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6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2:34" ht="12.75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6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2:34" ht="12.75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6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2:34" ht="12.75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6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2:34" ht="12.75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6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2:34" ht="12.75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6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2:34" ht="12.75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6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2:34" ht="12.75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6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2:34" ht="12.75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6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2:34" ht="12.75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6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2:34" ht="12.75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6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2:34" ht="12.75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6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2:34" ht="12.75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6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2:34" ht="12.75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6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2:34" ht="12.75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6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2:34" ht="12.75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6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2:34" ht="12.75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6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2:34" ht="12.75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6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2:34" ht="12.75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6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2:34" ht="12.75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6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2:34" ht="12.75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6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2:34" ht="12.75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6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2:34" ht="12.75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6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2:34" ht="12.75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6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2:34" ht="12.75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6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2:34" ht="12.75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6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2:34" ht="12.75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6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2:34" ht="12.75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6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2:34" ht="12.75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6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2:34" ht="12.75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6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2:34" ht="12.75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6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2:34" ht="12.75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6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2:34" ht="12.75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6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2:34" ht="12.75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6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2:34" ht="12.75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6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2:34" ht="12.75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6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2:34" ht="12.75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6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2:34" ht="12.75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6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2:34" ht="12.75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6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2:34" ht="12.75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6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2:34" ht="12.75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6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2:34" ht="12.75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6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2:34" ht="12.75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6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2:34" ht="12.75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6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2:34" ht="12.75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6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2:34" ht="12.75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6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2:34" ht="12.75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6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2:34" ht="12.75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6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2:34" ht="12.75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6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2:34" ht="12.75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6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2:34" ht="12.75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6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2:34" ht="12.75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6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2:34" ht="12.75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6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2:34" ht="12.75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6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2:34" ht="12.75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6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2:34" ht="12.75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6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2:34" ht="12.75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6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2:34" ht="12.75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6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2:34" ht="12.75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6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2:34" ht="12.75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6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2:34" ht="12.75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6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2:34" ht="12.75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6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2:34" ht="12.75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6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2:34" ht="12.75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6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2:34" ht="12.75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6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2:34" ht="12.75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6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2:34" ht="12.75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6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2:34" ht="12.75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6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2:34" ht="12.75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6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2:34" ht="12.75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6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2:34" ht="12.75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6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2:34" ht="12.75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6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2:34" ht="12.75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6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2:34" ht="12.75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6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2:34" ht="12.75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6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2:34" ht="12.75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6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2:34" ht="12.75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6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2:34" ht="12.75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6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2:34" ht="12.75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6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2:34" ht="12.75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6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2:34" ht="12.75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6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2:34" ht="12.75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6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2:34" ht="12.75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6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2:34" ht="12.75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6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2:34" ht="12.75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6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2:34" ht="12.75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6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2:34" ht="12.75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6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2:34" ht="12.75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6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2:34" ht="12.75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6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2:34" ht="12.75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6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2:34" ht="12.75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6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2:34" ht="12.75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6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2:34" ht="12.75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6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2:34" ht="12.75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6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2:34" ht="12.75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6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2:34" ht="12.75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6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2:34" ht="12.75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6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2:34" ht="12.75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6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2:34" ht="12.75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6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2:34" ht="12.75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6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2:34" ht="12.75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6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2:34" ht="12.75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6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2:34" ht="12.75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6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2:34" ht="12.75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6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2:34" ht="12.75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6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2:34" ht="12.75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6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2:34" ht="12.75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6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2:34" ht="12.75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6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2:34" ht="12.75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6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2:34" ht="12.75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6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2:34" ht="12.75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6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2:34" ht="12.75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6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2:34" ht="12.75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6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2:34" ht="12.75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6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2:34" ht="12.75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6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2:34" ht="12.75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6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2:34" ht="12.75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6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2:34" ht="12.75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6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2:34" ht="12.75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6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2:34" ht="12.75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6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2:34" ht="12.75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6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2:34" ht="12.75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6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2:34" ht="12.75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6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2:34" ht="12.75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6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2:34" ht="12.75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6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2:34" ht="12.75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6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2:34" ht="12.75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6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2:34" ht="12.75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6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2:34" ht="12.75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6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2:34" ht="12.75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6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2:34" ht="12.75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6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2:34" ht="12.75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6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2:34" ht="12.75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6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2:34" ht="12.75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6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2:34" ht="12.75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6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2:34" ht="12.75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6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2:34" ht="12.75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6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2:34" ht="12.75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6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2:34" ht="12.75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6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2:34" ht="12.75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6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2:34" ht="12.75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6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2:34" ht="12.75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6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2:34" ht="12.75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6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2:34" ht="12.75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6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2:34" ht="12.75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6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2:34" ht="12.75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6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2:34" ht="12.75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6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2:34" ht="12.75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6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2:34" ht="12.75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6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2:34" ht="12.75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6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2:34" ht="12.75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6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2:34" ht="12.75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6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2:34" ht="12.75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6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2:34" ht="12.75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6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2:34" ht="12.75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6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2:34" ht="12.75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6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2:34" ht="12.75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6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2:34" ht="12.75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6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2:34" ht="12.75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6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2:34" ht="12.75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6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2:34" ht="12.75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6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2:34" ht="12.75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6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2:34" ht="12.75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6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2:34" ht="12.75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6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2:34" ht="12.75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6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2:34" ht="12.75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6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2:34" ht="12.75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6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2:34" ht="12.75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6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2:34" ht="12.75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6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2:34" ht="12.75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6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2:34" ht="12.75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6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2:34" ht="12.75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6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2:34" ht="12.75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6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2:34" ht="12.75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6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2:34" ht="12.75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6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2:34" ht="12.75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6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2:34" ht="12.75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6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2:34" ht="12.75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6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2:34" ht="12.75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6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2:34" ht="12.75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6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2:34" ht="12.75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6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2:34" ht="12.75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6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2:34" ht="12.75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6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2:34" ht="12.75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6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2:34" ht="12.75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6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2:34" ht="12.75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6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2:34" ht="12.75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6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2:34" ht="12.75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6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2:34" ht="12.75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6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2:34" ht="12.75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6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2:34" ht="12.75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6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2:34" ht="12.75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6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2:34" ht="12.75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6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2:34" ht="12.75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6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2:34" ht="12.75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6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2:34" ht="12.75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6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2:34" ht="12.75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6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2:34" ht="12.75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6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2:34" ht="12.75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6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2:34" ht="12.75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6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2:34" ht="12.75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6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2:34" ht="12.75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6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2:34" ht="12.75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6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2:34" ht="12.75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6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2:34" ht="12.75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6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2:34" ht="12.75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6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2:34" ht="12.75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6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2:34" ht="12.75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6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2:34" ht="12.75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6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2:34" ht="12.75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6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2:34" ht="12.75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6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2:34" ht="12.75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6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2:34" ht="12.75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6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2:34" ht="12.75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6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2:34" ht="12.75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6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2:34" ht="12.75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6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2:34" ht="12.75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6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2:34" ht="12.75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6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2:34" ht="12.75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6"/>
      <c r="Z930" s="2"/>
      <c r="AA930" s="2"/>
      <c r="AB930" s="2"/>
      <c r="AC930" s="2"/>
      <c r="AD930" s="2"/>
      <c r="AE930" s="2"/>
      <c r="AF930" s="2"/>
      <c r="AG930" s="2"/>
      <c r="AH930" s="2"/>
    </row>
  </sheetData>
  <mergeCells count="5">
    <mergeCell ref="T6:T7"/>
    <mergeCell ref="T9:T10"/>
    <mergeCell ref="B18:Z18"/>
    <mergeCell ref="B59:D59"/>
    <mergeCell ref="B21:B58"/>
  </mergeCells>
  <conditionalFormatting sqref="W7">
    <cfRule type="cellIs" dxfId="25" priority="7" operator="greaterThan">
      <formula>1</formula>
    </cfRule>
    <cfRule type="cellIs" dxfId="24" priority="8" operator="greaterThan">
      <formula>1</formula>
    </cfRule>
  </conditionalFormatting>
  <conditionalFormatting sqref="Z7 W7">
    <cfRule type="cellIs" dxfId="23" priority="6" operator="greaterThan">
      <formula>0.99</formula>
    </cfRule>
  </conditionalFormatting>
  <conditionalFormatting sqref="Z7 W7">
    <cfRule type="cellIs" dxfId="22" priority="5" operator="lessThan">
      <formula>0.99</formula>
    </cfRule>
  </conditionalFormatting>
  <conditionalFormatting sqref="W10">
    <cfRule type="cellIs" dxfId="21" priority="3" operator="greaterThan">
      <formula>1</formula>
    </cfRule>
    <cfRule type="cellIs" dxfId="20" priority="4" operator="greaterThan">
      <formula>1</formula>
    </cfRule>
  </conditionalFormatting>
  <conditionalFormatting sqref="Z10 W10">
    <cfRule type="cellIs" dxfId="19" priority="2" operator="greaterThan">
      <formula>0.99</formula>
    </cfRule>
  </conditionalFormatting>
  <conditionalFormatting sqref="Z10 W10">
    <cfRule type="cellIs" dxfId="18" priority="1" operator="lessThan">
      <formula>0.99</formula>
    </cfRule>
  </conditionalFormatting>
  <pageMargins left="0.7" right="0.7" top="0.75" bottom="0.75" header="0.3" footer="0.3"/>
  <pageSetup paperSize="9" scale="53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2:AI906"/>
  <sheetViews>
    <sheetView topLeftCell="A13" zoomScale="80" zoomScaleNormal="80" workbookViewId="0">
      <selection activeCell="D11" sqref="D11"/>
    </sheetView>
  </sheetViews>
  <sheetFormatPr defaultColWidth="14.42578125" defaultRowHeight="15.75" customHeight="1" x14ac:dyDescent="0.2"/>
  <cols>
    <col min="1" max="1" width="2.28515625" style="4" customWidth="1"/>
    <col min="2" max="2" width="9.7109375" style="4" customWidth="1"/>
    <col min="3" max="3" width="14.42578125" style="4"/>
    <col min="4" max="4" width="12.28515625" style="4" customWidth="1"/>
    <col min="5" max="5" width="12.7109375" style="4" customWidth="1"/>
    <col min="6" max="6" width="11.42578125" style="4" customWidth="1"/>
    <col min="7" max="7" width="11.7109375" style="4" customWidth="1"/>
    <col min="8" max="8" width="13.28515625" style="4" customWidth="1"/>
    <col min="9" max="12" width="8.28515625" style="4" customWidth="1"/>
    <col min="13" max="16" width="6" style="4" customWidth="1"/>
    <col min="17" max="17" width="6.42578125" style="4" customWidth="1"/>
    <col min="18" max="18" width="8.5703125" style="4" customWidth="1"/>
    <col min="19" max="19" width="10.7109375" style="4" customWidth="1"/>
    <col min="20" max="20" width="11.28515625" style="4" customWidth="1"/>
    <col min="21" max="22" width="10.28515625" style="4" customWidth="1"/>
    <col min="23" max="24" width="12.5703125" style="4" customWidth="1"/>
    <col min="25" max="25" width="11.7109375" style="4" customWidth="1"/>
    <col min="26" max="26" width="10.7109375" style="4" customWidth="1"/>
    <col min="27" max="16384" width="14.42578125" style="4"/>
  </cols>
  <sheetData>
    <row r="2" spans="1:34" x14ac:dyDescent="0.25">
      <c r="B2" s="5" t="s">
        <v>284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T2" s="2"/>
      <c r="U2" s="2"/>
      <c r="V2" s="2"/>
      <c r="W2" s="2"/>
      <c r="X2" s="2"/>
      <c r="Y2" s="2"/>
      <c r="Z2" s="6"/>
      <c r="AA2" s="2"/>
      <c r="AB2" s="2"/>
      <c r="AC2" s="2"/>
      <c r="AD2" s="2"/>
      <c r="AE2" s="2"/>
      <c r="AF2" s="2"/>
      <c r="AG2" s="2"/>
      <c r="AH2" s="2"/>
    </row>
    <row r="3" spans="1:34" ht="15.75" customHeight="1" x14ac:dyDescent="0.2">
      <c r="B3" s="7"/>
      <c r="C3" s="2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T3" s="2"/>
      <c r="U3" s="2"/>
      <c r="V3" s="2"/>
      <c r="W3" s="2"/>
      <c r="X3" s="2"/>
      <c r="Y3" s="2"/>
      <c r="Z3" s="6"/>
      <c r="AA3" s="2"/>
      <c r="AB3" s="2"/>
      <c r="AC3" s="2"/>
      <c r="AD3" s="2"/>
      <c r="AE3" s="2"/>
      <c r="AF3" s="2"/>
      <c r="AG3" s="2"/>
      <c r="AH3" s="2"/>
    </row>
    <row r="4" spans="1:34" ht="15.75" customHeight="1" x14ac:dyDescent="0.2">
      <c r="B4" s="7" t="s">
        <v>46</v>
      </c>
      <c r="C4" s="2"/>
      <c r="D4" s="84" t="s">
        <v>3</v>
      </c>
      <c r="E4" s="7"/>
      <c r="F4" s="2"/>
      <c r="G4" s="7"/>
      <c r="H4" s="7"/>
      <c r="I4" s="2"/>
      <c r="J4" s="8"/>
      <c r="K4" s="7"/>
      <c r="L4" s="2"/>
      <c r="M4" s="2"/>
      <c r="N4" s="2"/>
      <c r="X4" s="2"/>
      <c r="Y4" s="2"/>
      <c r="Z4" s="6"/>
      <c r="AA4" s="2"/>
      <c r="AB4" s="2"/>
      <c r="AC4" s="2"/>
      <c r="AD4" s="2"/>
      <c r="AE4" s="2"/>
      <c r="AF4" s="2"/>
      <c r="AG4" s="2"/>
      <c r="AH4" s="2"/>
    </row>
    <row r="5" spans="1:34" ht="15.75" customHeight="1" x14ac:dyDescent="0.2">
      <c r="A5" s="34"/>
      <c r="B5" s="7" t="s">
        <v>47</v>
      </c>
      <c r="C5" s="2"/>
      <c r="D5" s="8">
        <v>12</v>
      </c>
      <c r="E5" s="34"/>
      <c r="F5" s="64"/>
      <c r="G5" s="34"/>
      <c r="H5" s="34"/>
      <c r="I5" s="7"/>
      <c r="J5" s="2"/>
      <c r="K5" s="2"/>
      <c r="L5" s="2"/>
      <c r="M5" s="2"/>
      <c r="N5" s="2"/>
      <c r="X5" s="2"/>
      <c r="Y5" s="2"/>
      <c r="Z5" s="6"/>
      <c r="AA5" s="2"/>
      <c r="AB5" s="2"/>
      <c r="AC5" s="2"/>
      <c r="AD5" s="2"/>
      <c r="AE5" s="2"/>
      <c r="AF5" s="2"/>
      <c r="AG5" s="2"/>
      <c r="AH5" s="2"/>
    </row>
    <row r="6" spans="1:34" ht="25.5" x14ac:dyDescent="0.2">
      <c r="A6" s="34"/>
      <c r="B6" s="7" t="s">
        <v>48</v>
      </c>
      <c r="C6" s="2"/>
      <c r="D6" s="8">
        <v>12</v>
      </c>
      <c r="E6" s="1"/>
      <c r="F6" s="1"/>
      <c r="G6" s="34"/>
      <c r="H6" s="34"/>
      <c r="I6" s="7"/>
      <c r="J6" s="2"/>
      <c r="K6" s="2"/>
      <c r="L6" s="2"/>
      <c r="M6" s="2"/>
      <c r="N6" s="2"/>
      <c r="T6" s="37" t="s">
        <v>285</v>
      </c>
      <c r="U6" s="37" t="s">
        <v>286</v>
      </c>
      <c r="V6" s="37" t="s">
        <v>54</v>
      </c>
      <c r="W6" s="37" t="s">
        <v>55</v>
      </c>
      <c r="X6" s="37" t="s">
        <v>56</v>
      </c>
      <c r="Y6" s="37" t="s">
        <v>57</v>
      </c>
      <c r="Z6" s="38" t="s">
        <v>58</v>
      </c>
      <c r="AA6" s="2"/>
      <c r="AB6" s="2"/>
      <c r="AC6" s="2"/>
      <c r="AD6" s="2"/>
      <c r="AE6" s="2"/>
      <c r="AF6" s="2"/>
      <c r="AG6" s="2"/>
      <c r="AH6" s="2"/>
    </row>
    <row r="7" spans="1:34" ht="12.75" x14ac:dyDescent="0.2">
      <c r="A7" s="34"/>
      <c r="B7" s="7" t="s">
        <v>49</v>
      </c>
      <c r="C7" s="2"/>
      <c r="D7" s="8">
        <f>D5-D6</f>
        <v>0</v>
      </c>
      <c r="E7" s="1"/>
      <c r="F7" s="1"/>
      <c r="G7" s="34"/>
      <c r="H7" s="34"/>
      <c r="I7" s="7"/>
      <c r="J7" s="2"/>
      <c r="K7" s="2"/>
      <c r="L7" s="2"/>
      <c r="M7" s="2"/>
      <c r="N7" s="2"/>
      <c r="T7" s="12" t="str">
        <f>HYPERLINK("https://www.facebook.com/ZespriAU/photos/a.320534091350958.74093.283187505085617/1915674608503557/?type=3&amp;theater","11 April")</f>
        <v>11 April</v>
      </c>
      <c r="U7" s="93">
        <v>490026</v>
      </c>
      <c r="V7" s="40">
        <f t="shared" ref="V7:V12" si="0">F22</f>
        <v>590332</v>
      </c>
      <c r="W7" s="41">
        <f t="shared" ref="W7:W12" si="1">V7/U7</f>
        <v>1.2046952610677801</v>
      </c>
      <c r="X7" s="146">
        <f t="shared" ref="X7:Y10" si="2">W22</f>
        <v>3368.4</v>
      </c>
      <c r="Y7" s="146">
        <f t="shared" si="2"/>
        <v>3368.4</v>
      </c>
      <c r="Z7" s="41">
        <f t="shared" ref="Z7:Z12" si="3">Y7/X7</f>
        <v>1</v>
      </c>
      <c r="AA7" s="2"/>
      <c r="AB7" s="2"/>
      <c r="AC7" s="2"/>
      <c r="AD7" s="2"/>
      <c r="AE7" s="2"/>
      <c r="AF7" s="2"/>
      <c r="AG7" s="2"/>
      <c r="AH7" s="2"/>
    </row>
    <row r="8" spans="1:34" ht="12.75" x14ac:dyDescent="0.2">
      <c r="A8" s="34"/>
      <c r="B8" s="7" t="s">
        <v>50</v>
      </c>
      <c r="C8" s="2"/>
      <c r="D8" s="91">
        <v>45736.729999999996</v>
      </c>
      <c r="E8" s="1"/>
      <c r="F8" s="1"/>
      <c r="G8" s="34"/>
      <c r="H8" s="34"/>
      <c r="I8" s="7"/>
      <c r="J8" s="2"/>
      <c r="K8" s="2"/>
      <c r="L8" s="2"/>
      <c r="M8" s="2"/>
      <c r="N8" s="2"/>
      <c r="T8" s="12" t="str">
        <f>D23</f>
        <v>9 May</v>
      </c>
      <c r="U8" s="93">
        <v>1000266</v>
      </c>
      <c r="V8" s="40">
        <f t="shared" si="0"/>
        <v>1023957</v>
      </c>
      <c r="W8" s="41">
        <f t="shared" si="1"/>
        <v>1.0236846998698346</v>
      </c>
      <c r="X8" s="147">
        <f t="shared" si="2"/>
        <v>9892.6299999999992</v>
      </c>
      <c r="Y8" s="147">
        <f t="shared" si="2"/>
        <v>9892.616399999999</v>
      </c>
      <c r="Z8" s="41">
        <f t="shared" si="3"/>
        <v>0.99999862523919314</v>
      </c>
      <c r="AA8" s="2"/>
      <c r="AB8" s="2"/>
      <c r="AC8" s="2"/>
      <c r="AD8" s="2"/>
    </row>
    <row r="9" spans="1:34" ht="12.75" x14ac:dyDescent="0.2">
      <c r="B9" s="35" t="s">
        <v>51</v>
      </c>
      <c r="C9" s="1"/>
      <c r="D9" s="101" t="s">
        <v>52</v>
      </c>
      <c r="E9" s="1"/>
      <c r="F9" s="1"/>
      <c r="I9" s="7"/>
      <c r="J9" s="2"/>
      <c r="K9" s="2"/>
      <c r="L9" s="2"/>
      <c r="M9" s="2"/>
      <c r="N9" s="2"/>
      <c r="T9" s="12" t="str">
        <f>D24</f>
        <v>1 Jun</v>
      </c>
      <c r="U9" s="93">
        <v>1011922</v>
      </c>
      <c r="V9" s="40">
        <f t="shared" si="0"/>
        <v>1051394</v>
      </c>
      <c r="W9" s="41">
        <f t="shared" si="1"/>
        <v>1.039006959034392</v>
      </c>
      <c r="X9" s="147">
        <f t="shared" si="2"/>
        <v>9107.2999999999993</v>
      </c>
      <c r="Y9" s="147">
        <f t="shared" si="2"/>
        <v>9107.161799999998</v>
      </c>
      <c r="Z9" s="41">
        <f t="shared" si="3"/>
        <v>0.99998482535987598</v>
      </c>
      <c r="AA9" s="2"/>
    </row>
    <row r="10" spans="1:34" ht="12.75" x14ac:dyDescent="0.2">
      <c r="B10" s="35" t="s">
        <v>59</v>
      </c>
      <c r="C10" s="1"/>
      <c r="D10" s="90">
        <v>43482</v>
      </c>
      <c r="E10" s="1"/>
      <c r="F10" s="1"/>
      <c r="I10" s="7"/>
      <c r="J10" s="2"/>
      <c r="K10" s="2"/>
      <c r="L10" s="2"/>
      <c r="M10" s="2"/>
      <c r="N10" s="2"/>
      <c r="T10" s="12" t="str">
        <f>D25</f>
        <v>21 Jun</v>
      </c>
      <c r="U10" s="93">
        <f>(X10/11)*1000</f>
        <v>45454.545454545456</v>
      </c>
      <c r="V10" s="40">
        <f t="shared" si="0"/>
        <v>91248</v>
      </c>
      <c r="W10" s="41">
        <f t="shared" si="1"/>
        <v>2.0074559999999999</v>
      </c>
      <c r="X10" s="147">
        <f t="shared" si="2"/>
        <v>500</v>
      </c>
      <c r="Y10" s="147">
        <f t="shared" si="2"/>
        <v>494.03579999999994</v>
      </c>
      <c r="Z10" s="41">
        <f t="shared" si="3"/>
        <v>0.98807159999999983</v>
      </c>
      <c r="AA10" s="2"/>
    </row>
    <row r="11" spans="1:34" ht="12.75" x14ac:dyDescent="0.2">
      <c r="B11" s="35"/>
      <c r="C11" s="1"/>
      <c r="D11" s="90"/>
      <c r="E11" s="1"/>
      <c r="F11" s="1"/>
      <c r="I11" s="7"/>
      <c r="J11" s="2"/>
      <c r="K11" s="2"/>
      <c r="L11" s="2"/>
      <c r="M11" s="2"/>
      <c r="N11" s="2"/>
      <c r="T11" s="12" t="str">
        <f>D26</f>
        <v>26 Jun</v>
      </c>
      <c r="U11" s="93">
        <f>(X11/11)*1000</f>
        <v>45454.545454545456</v>
      </c>
      <c r="V11" s="40">
        <f t="shared" si="0"/>
        <v>108923</v>
      </c>
      <c r="W11" s="41">
        <f t="shared" si="1"/>
        <v>2.396306</v>
      </c>
      <c r="X11" s="147">
        <f t="shared" ref="X11" si="4">W26</f>
        <v>500</v>
      </c>
      <c r="Y11" s="147">
        <f t="shared" ref="Y11" si="5">X26</f>
        <v>499.98599999999999</v>
      </c>
      <c r="Z11" s="41">
        <f t="shared" si="3"/>
        <v>0.99997199999999997</v>
      </c>
      <c r="AA11" s="2"/>
    </row>
    <row r="12" spans="1:34" ht="12.75" x14ac:dyDescent="0.2">
      <c r="B12" s="35"/>
      <c r="C12" s="1"/>
      <c r="D12" s="90"/>
      <c r="E12" s="1"/>
      <c r="F12" s="1"/>
      <c r="I12" s="7"/>
      <c r="J12" s="2"/>
      <c r="K12" s="2"/>
      <c r="L12" s="2"/>
      <c r="M12" s="2"/>
      <c r="N12" s="2"/>
      <c r="T12" s="12" t="str">
        <f>D27</f>
        <v>9 Jul</v>
      </c>
      <c r="U12" s="93">
        <f>(X12/11)*1000</f>
        <v>827936.36363636353</v>
      </c>
      <c r="V12" s="40">
        <f t="shared" si="0"/>
        <v>1411584</v>
      </c>
      <c r="W12" s="41">
        <f t="shared" si="1"/>
        <v>1.7049426284409213</v>
      </c>
      <c r="X12" s="147">
        <f t="shared" ref="X12" si="6">W27</f>
        <v>9107.2999999999993</v>
      </c>
      <c r="Y12" s="147">
        <f t="shared" ref="Y12" si="7">X27</f>
        <v>9107.2886999999992</v>
      </c>
      <c r="Z12" s="41">
        <f t="shared" si="3"/>
        <v>0.99999875923709547</v>
      </c>
      <c r="AA12" s="2"/>
    </row>
    <row r="13" spans="1:34" ht="15.75" customHeight="1" thickBot="1" x14ac:dyDescent="0.25">
      <c r="B13" s="35"/>
      <c r="C13" s="1"/>
      <c r="D13" s="33"/>
      <c r="E13" s="1"/>
      <c r="F13" s="1"/>
      <c r="I13" s="7"/>
      <c r="J13" s="2"/>
      <c r="K13" s="2"/>
      <c r="L13" s="2"/>
      <c r="M13" s="2"/>
      <c r="N13" s="2"/>
      <c r="T13" s="48"/>
      <c r="U13" s="48"/>
      <c r="V13" s="49"/>
      <c r="W13" s="50"/>
      <c r="X13" s="140"/>
      <c r="Y13" s="49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5.75" customHeight="1" x14ac:dyDescent="0.2">
      <c r="B14" s="63" t="s">
        <v>60</v>
      </c>
      <c r="C14" s="52"/>
      <c r="D14" s="53"/>
      <c r="E14" s="52"/>
      <c r="F14" s="52"/>
      <c r="G14" s="54"/>
      <c r="H14" s="54"/>
      <c r="I14" s="55"/>
      <c r="J14" s="52"/>
      <c r="K14" s="52"/>
      <c r="L14" s="52"/>
      <c r="M14" s="52"/>
      <c r="N14" s="52"/>
      <c r="O14" s="54"/>
      <c r="P14" s="54"/>
      <c r="Q14" s="54"/>
      <c r="R14" s="54"/>
      <c r="S14" s="54"/>
      <c r="T14" s="54"/>
      <c r="U14" s="54"/>
      <c r="V14" s="54"/>
      <c r="W14" s="52"/>
      <c r="X14" s="52"/>
      <c r="Y14" s="53"/>
      <c r="Z14" s="86"/>
      <c r="AA14" s="1"/>
      <c r="AB14" s="2"/>
      <c r="AC14" s="2"/>
      <c r="AD14" s="2"/>
      <c r="AE14" s="2"/>
      <c r="AF14" s="2"/>
      <c r="AG14" s="2"/>
      <c r="AH14" s="2"/>
    </row>
    <row r="15" spans="1:34" ht="15.75" customHeight="1" x14ac:dyDescent="0.2">
      <c r="B15" s="65"/>
      <c r="C15" s="1"/>
      <c r="D15" s="33"/>
      <c r="E15" s="1"/>
      <c r="F15" s="1"/>
      <c r="G15" s="34"/>
      <c r="H15" s="34"/>
      <c r="I15" s="35"/>
      <c r="J15" s="1"/>
      <c r="K15" s="1"/>
      <c r="L15" s="1"/>
      <c r="M15" s="1"/>
      <c r="N15" s="1"/>
      <c r="O15" s="34"/>
      <c r="P15" s="34"/>
      <c r="Q15" s="34"/>
      <c r="R15" s="34"/>
      <c r="S15" s="34"/>
      <c r="T15" s="34"/>
      <c r="U15" s="34"/>
      <c r="V15" s="34"/>
      <c r="W15" s="1"/>
      <c r="X15" s="1"/>
      <c r="Y15" s="33"/>
      <c r="Z15" s="87"/>
      <c r="AA15" s="1"/>
      <c r="AB15" s="2"/>
      <c r="AC15" s="2"/>
      <c r="AD15" s="2"/>
      <c r="AE15" s="2"/>
      <c r="AF15" s="2"/>
      <c r="AG15" s="2"/>
      <c r="AH15" s="2"/>
    </row>
    <row r="16" spans="1:34" ht="12.75" x14ac:dyDescent="0.2">
      <c r="B16" s="57"/>
      <c r="C16" s="1"/>
      <c r="D16" s="33"/>
      <c r="E16" s="1"/>
      <c r="F16" s="1"/>
      <c r="G16" s="34"/>
      <c r="H16" s="34"/>
      <c r="I16" s="35"/>
      <c r="J16" s="1"/>
      <c r="K16" s="1"/>
      <c r="L16" s="1"/>
      <c r="M16" s="1"/>
      <c r="N16" s="1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87"/>
      <c r="AA16" s="1"/>
      <c r="AB16" s="2"/>
      <c r="AC16" s="2"/>
      <c r="AD16" s="2"/>
      <c r="AE16" s="2"/>
      <c r="AF16" s="2"/>
      <c r="AG16" s="2"/>
      <c r="AH16" s="2"/>
    </row>
    <row r="17" spans="2:35" ht="15.75" customHeight="1" x14ac:dyDescent="0.2">
      <c r="B17" s="57"/>
      <c r="C17" s="1"/>
      <c r="D17" s="33"/>
      <c r="E17" s="1"/>
      <c r="F17" s="1"/>
      <c r="G17" s="34"/>
      <c r="H17" s="34"/>
      <c r="I17" s="35"/>
      <c r="J17" s="1"/>
      <c r="K17" s="1"/>
      <c r="L17" s="1"/>
      <c r="M17" s="1"/>
      <c r="N17" s="1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87"/>
      <c r="AA17" s="1"/>
      <c r="AB17" s="2"/>
      <c r="AC17" s="2"/>
      <c r="AD17" s="2"/>
      <c r="AE17" s="2"/>
      <c r="AF17" s="2"/>
      <c r="AG17" s="2"/>
      <c r="AH17" s="2"/>
    </row>
    <row r="18" spans="2:35" ht="15.75" customHeight="1" thickBot="1" x14ac:dyDescent="0.25">
      <c r="B18" s="59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1"/>
      <c r="P18" s="61"/>
      <c r="Q18" s="61"/>
      <c r="R18" s="61"/>
      <c r="S18" s="61"/>
      <c r="T18" s="61"/>
      <c r="U18" s="61"/>
      <c r="V18" s="61"/>
      <c r="W18" s="60"/>
      <c r="X18" s="60"/>
      <c r="Y18" s="88"/>
      <c r="Z18" s="89"/>
      <c r="AA18" s="1"/>
      <c r="AB18" s="2"/>
      <c r="AC18" s="2"/>
      <c r="AD18" s="2"/>
      <c r="AE18" s="2"/>
      <c r="AF18" s="2"/>
      <c r="AG18" s="2"/>
      <c r="AH18" s="2"/>
    </row>
    <row r="19" spans="2:35" ht="15.75" customHeight="1" x14ac:dyDescent="0.2">
      <c r="B19" s="9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6"/>
      <c r="Z19" s="2"/>
      <c r="AA19" s="2"/>
      <c r="AB19" s="2"/>
      <c r="AC19" s="2"/>
      <c r="AD19" s="2"/>
      <c r="AE19" s="2"/>
      <c r="AF19" s="2"/>
      <c r="AG19" s="2"/>
      <c r="AH19" s="2"/>
    </row>
    <row r="20" spans="2:35" ht="15.75" customHeight="1" x14ac:dyDescent="0.2">
      <c r="B20" s="352" t="s">
        <v>61</v>
      </c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52"/>
      <c r="Z20" s="352"/>
      <c r="AA20" s="2"/>
      <c r="AB20" s="2"/>
      <c r="AC20" s="2"/>
      <c r="AD20" s="2"/>
      <c r="AE20" s="2"/>
      <c r="AF20" s="2"/>
      <c r="AG20" s="2"/>
      <c r="AH20" s="2"/>
      <c r="AI20" s="2"/>
    </row>
    <row r="21" spans="2:35" ht="25.5" x14ac:dyDescent="0.2">
      <c r="B21" s="85" t="s">
        <v>159</v>
      </c>
      <c r="C21" s="13" t="s">
        <v>62</v>
      </c>
      <c r="D21" s="13" t="s">
        <v>63</v>
      </c>
      <c r="E21" s="13" t="s">
        <v>64</v>
      </c>
      <c r="F21" s="97" t="s">
        <v>65</v>
      </c>
      <c r="G21" s="138" t="s">
        <v>66</v>
      </c>
      <c r="H21" s="13" t="s">
        <v>67</v>
      </c>
      <c r="I21" s="13" t="s">
        <v>68</v>
      </c>
      <c r="J21" s="13" t="s">
        <v>21</v>
      </c>
      <c r="K21" s="13" t="s">
        <v>69</v>
      </c>
      <c r="L21" s="13" t="s">
        <v>70</v>
      </c>
      <c r="M21" s="13" t="s">
        <v>71</v>
      </c>
      <c r="N21" s="13" t="s">
        <v>72</v>
      </c>
      <c r="O21" s="13" t="s">
        <v>73</v>
      </c>
      <c r="P21" s="13" t="s">
        <v>74</v>
      </c>
      <c r="Q21" s="13" t="s">
        <v>75</v>
      </c>
      <c r="R21" s="13" t="s">
        <v>76</v>
      </c>
      <c r="S21" s="13" t="s">
        <v>77</v>
      </c>
      <c r="T21" s="13" t="s">
        <v>78</v>
      </c>
      <c r="U21" s="13" t="s">
        <v>79</v>
      </c>
      <c r="V21" s="13" t="s">
        <v>287</v>
      </c>
      <c r="W21" s="13" t="s">
        <v>81</v>
      </c>
      <c r="X21" s="14" t="s">
        <v>82</v>
      </c>
      <c r="Y21" s="14" t="s">
        <v>83</v>
      </c>
      <c r="Z21" s="15" t="s">
        <v>84</v>
      </c>
      <c r="AA21" s="2"/>
      <c r="AB21" s="2"/>
      <c r="AC21" s="2"/>
      <c r="AD21" s="2"/>
      <c r="AE21" s="2"/>
      <c r="AF21" s="2"/>
      <c r="AG21" s="2"/>
      <c r="AH21" s="2"/>
    </row>
    <row r="22" spans="2:35" ht="12.75" x14ac:dyDescent="0.2">
      <c r="B22" s="144" t="s">
        <v>153</v>
      </c>
      <c r="C22" s="145" t="s">
        <v>288</v>
      </c>
      <c r="D22" s="12" t="str">
        <f>HYPERLINK("https://www.facebook.com/ZespriAU/photos/a.320534091350958.74093.283187505085617/1915674608503557/?type=3&amp;theater","11 April")</f>
        <v>11 April</v>
      </c>
      <c r="E22" s="145">
        <v>651</v>
      </c>
      <c r="F22" s="94">
        <v>590332</v>
      </c>
      <c r="G22" s="139">
        <v>606391</v>
      </c>
      <c r="H22" s="27">
        <f>E22/G22</f>
        <v>1.0735647461786208E-3</v>
      </c>
      <c r="I22" s="145" t="s">
        <v>34</v>
      </c>
      <c r="J22" s="25" t="s">
        <v>34</v>
      </c>
      <c r="K22" s="25" t="s">
        <v>34</v>
      </c>
      <c r="L22" s="25" t="s">
        <v>34</v>
      </c>
      <c r="M22" s="25" t="s">
        <v>34</v>
      </c>
      <c r="N22" s="25" t="s">
        <v>34</v>
      </c>
      <c r="O22" s="25" t="s">
        <v>34</v>
      </c>
      <c r="P22" s="25" t="s">
        <v>34</v>
      </c>
      <c r="Q22" s="145">
        <v>0</v>
      </c>
      <c r="R22" s="145">
        <v>470</v>
      </c>
      <c r="S22" s="145">
        <v>1</v>
      </c>
      <c r="T22" s="145">
        <v>179</v>
      </c>
      <c r="U22" s="145">
        <v>1</v>
      </c>
      <c r="V22" s="145">
        <v>652</v>
      </c>
      <c r="W22" s="22">
        <v>3368.4</v>
      </c>
      <c r="X22" s="22">
        <v>3368.4</v>
      </c>
      <c r="Y22" s="22">
        <f>W22-X22</f>
        <v>0</v>
      </c>
      <c r="Z22" s="10">
        <v>6</v>
      </c>
      <c r="AA22" s="2"/>
      <c r="AB22" s="2"/>
      <c r="AC22" s="2"/>
      <c r="AD22" s="2"/>
      <c r="AE22" s="2"/>
      <c r="AF22" s="2"/>
      <c r="AG22" s="2"/>
      <c r="AH22" s="2"/>
    </row>
    <row r="23" spans="2:35" ht="15.75" customHeight="1" x14ac:dyDescent="0.2">
      <c r="B23" s="363" t="s">
        <v>289</v>
      </c>
      <c r="C23" s="10" t="s">
        <v>290</v>
      </c>
      <c r="D23" s="12" t="str">
        <f>HYPERLINK("https://www.facebook.com/ZespriAU/videos/1946544425416575/","9 May")</f>
        <v>9 May</v>
      </c>
      <c r="E23" s="79">
        <v>61317</v>
      </c>
      <c r="F23" s="94">
        <v>1023957</v>
      </c>
      <c r="G23" s="139">
        <v>1122837</v>
      </c>
      <c r="H23" s="25">
        <f>E23/G23</f>
        <v>5.4608994894183215E-2</v>
      </c>
      <c r="I23" s="3">
        <v>60823</v>
      </c>
      <c r="J23" s="25">
        <f t="shared" ref="J23:J33" si="8">I23/G23</f>
        <v>5.4169037892410031E-2</v>
      </c>
      <c r="K23" s="3">
        <v>9328</v>
      </c>
      <c r="L23" s="29">
        <f t="shared" ref="L23:L33" si="9">K23/G23</f>
        <v>8.3075281630370212E-3</v>
      </c>
      <c r="M23" s="25">
        <v>5.1750164983875663E-2</v>
      </c>
      <c r="N23" s="25">
        <v>2.2125206062856853E-2</v>
      </c>
      <c r="O23" s="25">
        <v>1.2464854649428189E-2</v>
      </c>
      <c r="P23" s="25">
        <v>7.8782583758818057E-3</v>
      </c>
      <c r="Q23" s="3">
        <v>122</v>
      </c>
      <c r="R23" s="3" t="s">
        <v>34</v>
      </c>
      <c r="S23" s="3">
        <v>56</v>
      </c>
      <c r="T23" s="3">
        <v>412</v>
      </c>
      <c r="U23" s="3">
        <v>26</v>
      </c>
      <c r="V23" s="3">
        <v>3965</v>
      </c>
      <c r="W23" s="22">
        <v>9892.6299999999992</v>
      </c>
      <c r="X23" s="22">
        <v>9892.616399999999</v>
      </c>
      <c r="Y23" s="22">
        <f>W23-X23</f>
        <v>1.3600000000224099E-2</v>
      </c>
      <c r="Z23" s="10">
        <v>2</v>
      </c>
      <c r="AA23" s="11"/>
      <c r="AB23" s="11"/>
      <c r="AC23" s="11"/>
      <c r="AD23" s="11"/>
      <c r="AE23" s="11"/>
      <c r="AF23" s="11"/>
      <c r="AG23" s="11"/>
      <c r="AH23" s="11"/>
    </row>
    <row r="24" spans="2:35" ht="15.75" customHeight="1" x14ac:dyDescent="0.2">
      <c r="B24" s="364"/>
      <c r="C24" s="10" t="s">
        <v>291</v>
      </c>
      <c r="D24" s="142" t="str">
        <f>HYPERLINK("https://www.facebook.com/ZespriAU/videos/1982201188517565/","1 Jun")</f>
        <v>1 Jun</v>
      </c>
      <c r="E24" s="3">
        <v>96689</v>
      </c>
      <c r="F24" s="94">
        <v>1051394</v>
      </c>
      <c r="G24" s="139">
        <v>1053029</v>
      </c>
      <c r="H24" s="25">
        <f t="shared" ref="H24" si="10">E24/G24</f>
        <v>9.1819883403021191E-2</v>
      </c>
      <c r="I24" s="3">
        <v>96586</v>
      </c>
      <c r="J24" s="25">
        <f t="shared" si="8"/>
        <v>9.1722070332346028E-2</v>
      </c>
      <c r="K24" s="3">
        <v>96586</v>
      </c>
      <c r="L24" s="29">
        <f t="shared" si="9"/>
        <v>9.1722070332346028E-2</v>
      </c>
      <c r="M24" s="25">
        <v>0.4087655705588355</v>
      </c>
      <c r="N24" s="25">
        <v>0.25317821256584577</v>
      </c>
      <c r="O24" s="25">
        <v>0.13627829812854156</v>
      </c>
      <c r="P24" s="25">
        <v>7.434173227897807E-2</v>
      </c>
      <c r="Q24" s="3">
        <v>49</v>
      </c>
      <c r="R24" s="3" t="s">
        <v>34</v>
      </c>
      <c r="S24" s="3">
        <v>12</v>
      </c>
      <c r="T24" s="3">
        <v>85</v>
      </c>
      <c r="U24" s="3">
        <v>6</v>
      </c>
      <c r="V24" s="3">
        <v>2402</v>
      </c>
      <c r="W24" s="22">
        <v>9107.2999999999993</v>
      </c>
      <c r="X24" s="22">
        <v>9107.161799999998</v>
      </c>
      <c r="Y24" s="22">
        <f t="shared" ref="Y24" si="11">W24-X24</f>
        <v>0.138200000001234</v>
      </c>
      <c r="Z24" s="10">
        <v>1</v>
      </c>
      <c r="AA24" s="2"/>
      <c r="AB24" s="2"/>
      <c r="AC24" s="2"/>
      <c r="AD24" s="2"/>
      <c r="AE24" s="2"/>
      <c r="AF24" s="2"/>
      <c r="AG24" s="2"/>
      <c r="AH24" s="2"/>
      <c r="AI24" s="2"/>
    </row>
    <row r="25" spans="2:35" ht="15.75" customHeight="1" x14ac:dyDescent="0.2">
      <c r="B25" s="364"/>
      <c r="C25" s="68">
        <v>43272</v>
      </c>
      <c r="D25" s="12" t="str">
        <f>HYPERLINK("https://www.facebook.com/ZespriAU/videos/2016655395072144/","21 Jun")</f>
        <v>21 Jun</v>
      </c>
      <c r="E25" s="3">
        <v>6191</v>
      </c>
      <c r="F25" s="94">
        <v>91248</v>
      </c>
      <c r="G25" s="139">
        <v>93288</v>
      </c>
      <c r="H25" s="25">
        <f t="shared" ref="H25:H26" si="12">E25/G25</f>
        <v>6.6364376983106085E-2</v>
      </c>
      <c r="I25" s="3">
        <v>6182</v>
      </c>
      <c r="J25" s="25">
        <f t="shared" si="8"/>
        <v>6.6267901552182484E-2</v>
      </c>
      <c r="K25" s="3">
        <v>6182</v>
      </c>
      <c r="L25" s="29">
        <f t="shared" si="9"/>
        <v>6.6267901552182484E-2</v>
      </c>
      <c r="M25" s="25">
        <v>0.30535545836549183</v>
      </c>
      <c r="N25" s="25">
        <v>0.15951676528599606</v>
      </c>
      <c r="O25" s="25">
        <v>8.3258296887059435E-2</v>
      </c>
      <c r="P25" s="25">
        <v>5.1828745390618297E-2</v>
      </c>
      <c r="Q25" s="3">
        <v>3</v>
      </c>
      <c r="R25" s="3" t="s">
        <v>34</v>
      </c>
      <c r="S25" s="3">
        <v>1</v>
      </c>
      <c r="T25" s="3">
        <v>8</v>
      </c>
      <c r="U25" s="3" t="s">
        <v>34</v>
      </c>
      <c r="V25" s="3">
        <v>157</v>
      </c>
      <c r="W25" s="22">
        <v>500</v>
      </c>
      <c r="X25" s="22">
        <v>494.03579999999994</v>
      </c>
      <c r="Y25" s="22">
        <f t="shared" ref="Y25:Y33" si="13">W25-X25</f>
        <v>5.9642000000000621</v>
      </c>
      <c r="Z25" s="10">
        <v>5</v>
      </c>
      <c r="AA25" s="2"/>
      <c r="AB25" s="2"/>
      <c r="AC25" s="2"/>
      <c r="AD25" s="2"/>
      <c r="AE25" s="2"/>
      <c r="AF25" s="2"/>
      <c r="AG25" s="2"/>
      <c r="AH25" s="2"/>
      <c r="AI25" s="2"/>
    </row>
    <row r="26" spans="2:35" ht="15.75" customHeight="1" x14ac:dyDescent="0.2">
      <c r="B26" s="364"/>
      <c r="C26" s="68">
        <v>43277</v>
      </c>
      <c r="D26" s="12" t="str">
        <f>HYPERLINK("https://www.facebook.com/ZespriAU/videos/2016655395072144/","26 Jun")</f>
        <v>26 Jun</v>
      </c>
      <c r="E26" s="3">
        <v>6482</v>
      </c>
      <c r="F26" s="94">
        <v>108923</v>
      </c>
      <c r="G26" s="139">
        <v>108923</v>
      </c>
      <c r="H26" s="25">
        <f t="shared" si="12"/>
        <v>5.9509929032435759E-2</v>
      </c>
      <c r="I26" s="3">
        <v>6467</v>
      </c>
      <c r="J26" s="25">
        <f t="shared" si="8"/>
        <v>5.9372217070774766E-2</v>
      </c>
      <c r="K26" s="3">
        <v>6467</v>
      </c>
      <c r="L26" s="29">
        <f t="shared" si="9"/>
        <v>5.9372217070774766E-2</v>
      </c>
      <c r="M26" s="25">
        <f>21865/G26</f>
        <v>0.20073813611450292</v>
      </c>
      <c r="N26" s="25">
        <f>16035/G26</f>
        <v>0.14721408701559818</v>
      </c>
      <c r="O26" s="25">
        <f>8208/G26</f>
        <v>7.5355985420893654E-2</v>
      </c>
      <c r="P26" s="25">
        <f>5181/G26</f>
        <v>4.7565711557705899E-2</v>
      </c>
      <c r="Q26" s="3">
        <v>3</v>
      </c>
      <c r="R26" s="3" t="s">
        <v>34</v>
      </c>
      <c r="S26" s="3">
        <v>0</v>
      </c>
      <c r="T26" s="3">
        <v>14</v>
      </c>
      <c r="U26" s="3">
        <v>1</v>
      </c>
      <c r="V26" s="3">
        <v>210</v>
      </c>
      <c r="W26" s="22">
        <v>500</v>
      </c>
      <c r="X26" s="22">
        <f>354.6*1.41</f>
        <v>499.98599999999999</v>
      </c>
      <c r="Y26" s="22">
        <f t="shared" si="13"/>
        <v>1.4000000000010004E-2</v>
      </c>
      <c r="Z26" s="10">
        <v>4</v>
      </c>
      <c r="AA26" s="2"/>
      <c r="AB26" s="2"/>
      <c r="AC26" s="2"/>
      <c r="AD26" s="2"/>
      <c r="AE26" s="2"/>
      <c r="AF26" s="2"/>
      <c r="AG26" s="2"/>
      <c r="AH26" s="2"/>
      <c r="AI26" s="2"/>
    </row>
    <row r="27" spans="2:35" ht="15.75" customHeight="1" x14ac:dyDescent="0.2">
      <c r="B27" s="364"/>
      <c r="C27" s="68" t="s">
        <v>292</v>
      </c>
      <c r="D27" s="12" t="str">
        <f>HYPERLINK("https://www.facebook.com/ZespriAU/videos/2003726559698361/","9 Jul")</f>
        <v>9 Jul</v>
      </c>
      <c r="E27" s="3">
        <v>279664</v>
      </c>
      <c r="F27" s="94">
        <v>1411584</v>
      </c>
      <c r="G27" s="139">
        <v>1641673</v>
      </c>
      <c r="H27" s="25">
        <f>E27/G27</f>
        <v>0.17035304838417883</v>
      </c>
      <c r="I27" s="3">
        <v>279227</v>
      </c>
      <c r="J27" s="25">
        <f t="shared" si="8"/>
        <v>0.17008685651771088</v>
      </c>
      <c r="K27" s="3">
        <v>27711</v>
      </c>
      <c r="L27" s="29">
        <f t="shared" si="9"/>
        <v>1.6879731834537084E-2</v>
      </c>
      <c r="M27" s="25">
        <v>0.13159015224103704</v>
      </c>
      <c r="N27" s="25">
        <v>5.1086909512430306E-2</v>
      </c>
      <c r="O27" s="25">
        <v>2.6997459299141789E-2</v>
      </c>
      <c r="P27" s="25">
        <v>1.6106130758074232E-2</v>
      </c>
      <c r="Q27" s="3">
        <v>16</v>
      </c>
      <c r="R27" s="3" t="s">
        <v>34</v>
      </c>
      <c r="S27" s="3">
        <v>11</v>
      </c>
      <c r="T27" s="3">
        <v>418</v>
      </c>
      <c r="U27" s="3">
        <v>8</v>
      </c>
      <c r="V27" s="3">
        <v>4111</v>
      </c>
      <c r="W27" s="22">
        <v>9107.2999999999993</v>
      </c>
      <c r="X27" s="22">
        <v>9107.2886999999992</v>
      </c>
      <c r="Y27" s="22">
        <f t="shared" si="13"/>
        <v>1.1300000000119326E-2</v>
      </c>
      <c r="Z27" s="10">
        <v>3</v>
      </c>
      <c r="AA27" s="2"/>
      <c r="AB27" s="2"/>
      <c r="AC27" s="2"/>
      <c r="AD27" s="2"/>
      <c r="AE27" s="2"/>
      <c r="AF27" s="2"/>
      <c r="AG27" s="2"/>
      <c r="AH27" s="2"/>
      <c r="AI27" s="2"/>
    </row>
    <row r="28" spans="2:35" ht="15.75" customHeight="1" x14ac:dyDescent="0.2">
      <c r="B28" s="364"/>
      <c r="C28" s="68">
        <v>43330</v>
      </c>
      <c r="D28" s="12">
        <v>43330</v>
      </c>
      <c r="E28" s="3">
        <v>4903</v>
      </c>
      <c r="F28" s="94">
        <v>125376</v>
      </c>
      <c r="G28" s="139">
        <v>133106</v>
      </c>
      <c r="H28" s="25">
        <f>E28/G28</f>
        <v>3.6835304193650172E-2</v>
      </c>
      <c r="I28" s="3">
        <v>4878</v>
      </c>
      <c r="J28" s="25">
        <f t="shared" si="8"/>
        <v>3.6647483960152057E-2</v>
      </c>
      <c r="K28" s="3">
        <v>4878</v>
      </c>
      <c r="L28" s="29">
        <f t="shared" si="9"/>
        <v>3.6647483960152057E-2</v>
      </c>
      <c r="M28" s="25">
        <v>0.26591588658663018</v>
      </c>
      <c r="N28" s="25">
        <v>0.10800414707075563</v>
      </c>
      <c r="O28" s="25">
        <v>5.7367812119664026E-2</v>
      </c>
      <c r="P28" s="25">
        <v>3.6459663726653942E-2</v>
      </c>
      <c r="Q28" s="3">
        <v>1</v>
      </c>
      <c r="R28" s="3" t="s">
        <v>34</v>
      </c>
      <c r="S28" s="3" t="s">
        <v>34</v>
      </c>
      <c r="T28" s="3" t="s">
        <v>34</v>
      </c>
      <c r="U28" s="3">
        <v>24</v>
      </c>
      <c r="V28" s="3">
        <v>280</v>
      </c>
      <c r="W28" s="22">
        <v>500</v>
      </c>
      <c r="X28" s="22">
        <v>499.98599999999999</v>
      </c>
      <c r="Y28" s="22">
        <f t="shared" si="13"/>
        <v>1.4000000000010004E-2</v>
      </c>
      <c r="Z28" s="10">
        <v>6</v>
      </c>
      <c r="AA28" s="2"/>
      <c r="AB28" s="2"/>
      <c r="AC28" s="2"/>
      <c r="AD28" s="2"/>
      <c r="AE28" s="2"/>
      <c r="AF28" s="2"/>
      <c r="AG28" s="2"/>
      <c r="AH28" s="2"/>
      <c r="AI28" s="2"/>
    </row>
    <row r="29" spans="2:35" ht="15.75" customHeight="1" x14ac:dyDescent="0.2">
      <c r="B29" s="364"/>
      <c r="C29" s="68" t="s">
        <v>293</v>
      </c>
      <c r="D29" s="142" t="str">
        <f>HYPERLINK("https://www.facebook.com/?feed_demo_ad=23843105694580341&amp;h=AQCyNhPujFqmWeKe","1 Sept")</f>
        <v>1 Sept</v>
      </c>
      <c r="E29" s="3">
        <v>346231</v>
      </c>
      <c r="F29" s="94">
        <v>1651921</v>
      </c>
      <c r="G29" s="139">
        <v>1724221</v>
      </c>
      <c r="H29" s="25">
        <f>E29/G29</f>
        <v>0.20080430524857312</v>
      </c>
      <c r="I29" s="3">
        <v>345634</v>
      </c>
      <c r="J29" s="25">
        <f t="shared" si="8"/>
        <v>0.20045806193057619</v>
      </c>
      <c r="K29" s="3">
        <v>345634</v>
      </c>
      <c r="L29" s="29">
        <f t="shared" si="9"/>
        <v>0.20045806193057619</v>
      </c>
      <c r="M29" s="25">
        <v>0.43094359713748992</v>
      </c>
      <c r="N29" s="25">
        <v>0.35876549467846641</v>
      </c>
      <c r="O29" s="25">
        <v>0.27429546444452307</v>
      </c>
      <c r="P29" s="25">
        <v>0.20271531317621116</v>
      </c>
      <c r="Q29" s="3">
        <v>38</v>
      </c>
      <c r="R29" s="3" t="s">
        <v>34</v>
      </c>
      <c r="S29" s="3">
        <v>8</v>
      </c>
      <c r="T29" s="3">
        <v>545</v>
      </c>
      <c r="U29" s="3">
        <v>6</v>
      </c>
      <c r="V29" s="3">
        <v>5457</v>
      </c>
      <c r="W29" s="22">
        <v>9107.2999999999993</v>
      </c>
      <c r="X29" s="22">
        <v>9102.9599999999991</v>
      </c>
      <c r="Y29" s="22">
        <f t="shared" si="13"/>
        <v>4.3400000000001455</v>
      </c>
      <c r="Z29" s="10">
        <v>3</v>
      </c>
      <c r="AA29" s="2"/>
      <c r="AB29" s="2"/>
      <c r="AC29" s="2"/>
      <c r="AD29" s="2"/>
      <c r="AE29" s="2"/>
      <c r="AF29" s="2"/>
      <c r="AG29" s="2"/>
      <c r="AH29" s="2"/>
      <c r="AI29" s="2"/>
    </row>
    <row r="30" spans="2:35" ht="15.75" customHeight="1" x14ac:dyDescent="0.2">
      <c r="B30" s="364"/>
      <c r="C30" s="68" t="s">
        <v>294</v>
      </c>
      <c r="D30" s="142" t="str">
        <f>HYPERLINK("https://www.facebook.com/ZespriAU/videos/1965518713746175/","15 Sept")</f>
        <v>15 Sept</v>
      </c>
      <c r="E30" s="3">
        <v>16863</v>
      </c>
      <c r="F30" s="94">
        <v>808193</v>
      </c>
      <c r="G30" s="139">
        <v>930494</v>
      </c>
      <c r="H30" s="25">
        <f>E30/G30</f>
        <v>1.8122631634379157E-2</v>
      </c>
      <c r="I30" s="3">
        <v>16654</v>
      </c>
      <c r="J30" s="25">
        <f t="shared" si="8"/>
        <v>1.7898019761546018E-2</v>
      </c>
      <c r="K30" s="3">
        <v>6985</v>
      </c>
      <c r="L30" s="29">
        <f t="shared" si="9"/>
        <v>7.5067652236338973E-3</v>
      </c>
      <c r="M30" s="25">
        <v>5.5235176153741988E-2</v>
      </c>
      <c r="N30" s="25">
        <v>1.864600953901906E-2</v>
      </c>
      <c r="O30" s="25">
        <v>1.0548160439508476E-2</v>
      </c>
      <c r="P30" s="25">
        <v>7.2176714734323915E-3</v>
      </c>
      <c r="Q30" s="3">
        <v>1</v>
      </c>
      <c r="R30" s="3" t="s">
        <v>34</v>
      </c>
      <c r="S30" s="3">
        <v>1</v>
      </c>
      <c r="T30" s="3">
        <v>206</v>
      </c>
      <c r="U30" s="3">
        <v>1</v>
      </c>
      <c r="V30" s="3">
        <v>2093</v>
      </c>
      <c r="W30" s="22">
        <v>3653.8</v>
      </c>
      <c r="X30" s="22">
        <v>3653.7894000000001</v>
      </c>
      <c r="Y30" s="22">
        <f t="shared" si="13"/>
        <v>1.0600000000067666E-2</v>
      </c>
      <c r="Z30" s="10">
        <v>5</v>
      </c>
      <c r="AA30" s="2"/>
      <c r="AB30" s="2"/>
      <c r="AC30" s="2"/>
      <c r="AD30" s="2"/>
      <c r="AE30" s="2"/>
      <c r="AF30" s="2"/>
      <c r="AG30" s="2"/>
      <c r="AH30" s="2"/>
      <c r="AI30" s="2"/>
    </row>
    <row r="31" spans="2:35" ht="15.75" customHeight="1" x14ac:dyDescent="0.2">
      <c r="B31" s="364"/>
      <c r="C31" s="68" t="s">
        <v>112</v>
      </c>
      <c r="D31" s="142" t="str">
        <f>HYPERLINK("https://www.facebook.com/283187505085617/posts/2254260271311654/","30 Oct")</f>
        <v>30 Oct</v>
      </c>
      <c r="E31" s="3">
        <v>7527</v>
      </c>
      <c r="F31" s="94">
        <v>254899</v>
      </c>
      <c r="G31" s="139">
        <v>264398</v>
      </c>
      <c r="H31" s="25">
        <f>E31/G31</f>
        <v>2.8468445298375934E-2</v>
      </c>
      <c r="I31" s="3">
        <v>7485</v>
      </c>
      <c r="J31" s="25">
        <f t="shared" si="8"/>
        <v>2.830959386984773E-2</v>
      </c>
      <c r="K31" s="3">
        <v>1492</v>
      </c>
      <c r="L31" s="29">
        <f t="shared" si="9"/>
        <v>5.6430078896209501E-3</v>
      </c>
      <c r="M31" s="25">
        <v>3.5734007065106391E-2</v>
      </c>
      <c r="N31" s="25">
        <v>0.53694054776219102</v>
      </c>
      <c r="O31" s="25">
        <v>1.4584450402144773</v>
      </c>
      <c r="P31" s="25">
        <v>0.15093141405588484</v>
      </c>
      <c r="Q31" s="3">
        <v>0</v>
      </c>
      <c r="R31" s="3" t="s">
        <v>34</v>
      </c>
      <c r="S31" s="3">
        <v>3</v>
      </c>
      <c r="T31" s="3">
        <v>1</v>
      </c>
      <c r="U31" s="3">
        <v>38</v>
      </c>
      <c r="V31" s="3">
        <v>512</v>
      </c>
      <c r="W31" s="22">
        <v>1000</v>
      </c>
      <c r="X31" s="22">
        <v>1000</v>
      </c>
      <c r="Y31" s="22">
        <f t="shared" si="13"/>
        <v>0</v>
      </c>
      <c r="Z31" s="10">
        <v>6</v>
      </c>
      <c r="AA31" s="2"/>
      <c r="AB31" s="2"/>
      <c r="AC31" s="2"/>
      <c r="AD31" s="2"/>
      <c r="AE31" s="2"/>
      <c r="AF31" s="2"/>
      <c r="AG31" s="2"/>
      <c r="AH31" s="2"/>
      <c r="AI31" s="2"/>
    </row>
    <row r="32" spans="2:35" ht="15.75" customHeight="1" x14ac:dyDescent="0.2">
      <c r="B32" s="364"/>
      <c r="C32" s="68" t="s">
        <v>295</v>
      </c>
      <c r="D32" s="142" t="str">
        <f>HYPERLINK("https://www.facebook.com/ZespriAU/videos/507861096370923","24 Dec")</f>
        <v>24 Dec</v>
      </c>
      <c r="E32" s="3">
        <v>7386</v>
      </c>
      <c r="F32" s="94">
        <v>264906</v>
      </c>
      <c r="G32" s="139">
        <v>264906</v>
      </c>
      <c r="H32" s="25">
        <f t="shared" ref="H32:H33" si="14">E32/G32</f>
        <v>2.7881588185998053E-2</v>
      </c>
      <c r="I32" s="3">
        <v>7378</v>
      </c>
      <c r="J32" s="25">
        <f t="shared" si="8"/>
        <v>2.7851388794515791E-2</v>
      </c>
      <c r="K32" s="3">
        <v>2290</v>
      </c>
      <c r="L32" s="29">
        <f t="shared" si="9"/>
        <v>8.644575811797393E-3</v>
      </c>
      <c r="M32" s="25">
        <v>3.826640393196077E-2</v>
      </c>
      <c r="N32" s="25">
        <v>1.7828965746340211E-2</v>
      </c>
      <c r="O32" s="25">
        <v>1.1207749163854348E-2</v>
      </c>
      <c r="P32" s="25">
        <v>8.4294051474862776E-3</v>
      </c>
      <c r="Q32" s="3">
        <v>0</v>
      </c>
      <c r="R32" s="3" t="s">
        <v>34</v>
      </c>
      <c r="S32" s="3" t="s">
        <v>34</v>
      </c>
      <c r="T32" s="3">
        <v>2</v>
      </c>
      <c r="U32" s="3">
        <v>6</v>
      </c>
      <c r="V32" s="3">
        <v>124</v>
      </c>
      <c r="W32" s="22">
        <v>500</v>
      </c>
      <c r="X32" s="22">
        <v>499.98599999999999</v>
      </c>
      <c r="Y32" s="22">
        <f t="shared" si="13"/>
        <v>1.4000000000010004E-2</v>
      </c>
      <c r="Z32" s="10">
        <v>6</v>
      </c>
      <c r="AA32" s="2"/>
      <c r="AB32" s="2"/>
      <c r="AC32" s="2"/>
      <c r="AD32" s="2"/>
      <c r="AE32" s="2"/>
      <c r="AF32" s="2"/>
      <c r="AG32" s="2"/>
      <c r="AH32" s="2"/>
      <c r="AI32" s="2"/>
    </row>
    <row r="33" spans="2:35" ht="15.75" customHeight="1" x14ac:dyDescent="0.2">
      <c r="B33" s="364"/>
      <c r="C33" s="68">
        <v>43830</v>
      </c>
      <c r="D33" s="142" t="str">
        <f>HYPERLINK("https://www.facebook.com/283187505085617/posts/2371830499554630/","31 Dec")</f>
        <v>31 Dec</v>
      </c>
      <c r="E33" s="3">
        <v>6905</v>
      </c>
      <c r="F33" s="94">
        <v>256512</v>
      </c>
      <c r="G33" s="139">
        <v>257201</v>
      </c>
      <c r="H33" s="25">
        <f t="shared" si="14"/>
        <v>2.6846707438929085E-2</v>
      </c>
      <c r="I33" s="3">
        <v>6888</v>
      </c>
      <c r="J33" s="25">
        <f t="shared" si="8"/>
        <v>2.6780611272895518E-2</v>
      </c>
      <c r="K33" s="3">
        <v>1513</v>
      </c>
      <c r="L33" s="29">
        <f t="shared" si="9"/>
        <v>5.8825587769876474E-3</v>
      </c>
      <c r="M33" s="25">
        <v>2.6434578403660949E-2</v>
      </c>
      <c r="N33" s="25">
        <v>1.3246449275080579E-2</v>
      </c>
      <c r="O33" s="25">
        <v>8.08317230492883E-3</v>
      </c>
      <c r="P33" s="25">
        <v>5.6376141616867742E-3</v>
      </c>
      <c r="Q33" s="3">
        <v>0</v>
      </c>
      <c r="R33" s="3" t="s">
        <v>34</v>
      </c>
      <c r="S33" s="3" t="s">
        <v>34</v>
      </c>
      <c r="T33" s="3">
        <v>2</v>
      </c>
      <c r="U33" s="3">
        <v>15</v>
      </c>
      <c r="V33" s="3">
        <v>200</v>
      </c>
      <c r="W33" s="22">
        <v>500</v>
      </c>
      <c r="X33" s="22">
        <v>499.98599999999999</v>
      </c>
      <c r="Y33" s="22">
        <f t="shared" si="13"/>
        <v>1.4000000000010004E-2</v>
      </c>
      <c r="Z33" s="10">
        <v>6</v>
      </c>
      <c r="AA33" s="2"/>
      <c r="AB33" s="2"/>
      <c r="AC33" s="2"/>
      <c r="AD33" s="2"/>
      <c r="AE33" s="2"/>
      <c r="AF33" s="2"/>
      <c r="AG33" s="2"/>
      <c r="AH33" s="2"/>
      <c r="AI33" s="2"/>
    </row>
    <row r="34" spans="2:35" ht="15.75" hidden="1" customHeight="1" x14ac:dyDescent="0.2">
      <c r="B34" s="365"/>
      <c r="C34" s="68"/>
      <c r="D34" s="12"/>
      <c r="E34" s="3"/>
      <c r="F34" s="94"/>
      <c r="G34" s="139"/>
      <c r="H34" s="25"/>
      <c r="I34" s="3"/>
      <c r="J34" s="25"/>
      <c r="K34" s="3"/>
      <c r="L34" s="29"/>
      <c r="M34" s="25"/>
      <c r="N34" s="25"/>
      <c r="O34" s="25"/>
      <c r="P34" s="25"/>
      <c r="Q34" s="3"/>
      <c r="R34" s="3"/>
      <c r="S34" s="3"/>
      <c r="T34" s="3"/>
      <c r="U34" s="3"/>
      <c r="V34" s="3"/>
      <c r="W34" s="22"/>
      <c r="X34" s="22"/>
      <c r="Y34" s="22"/>
      <c r="Z34" s="10"/>
      <c r="AA34" s="2"/>
      <c r="AB34" s="2"/>
      <c r="AC34" s="2"/>
      <c r="AD34" s="2"/>
      <c r="AE34" s="2"/>
      <c r="AF34" s="2"/>
      <c r="AG34" s="2"/>
      <c r="AH34" s="2"/>
      <c r="AI34" s="2"/>
    </row>
    <row r="35" spans="2:35" ht="15.75" customHeight="1" x14ac:dyDescent="0.2">
      <c r="B35" s="351" t="s">
        <v>120</v>
      </c>
      <c r="C35" s="351"/>
      <c r="D35" s="351"/>
      <c r="E35" s="16">
        <f>SUM(E22:E34)</f>
        <v>840809</v>
      </c>
      <c r="F35" s="16">
        <f t="shared" ref="F35:G35" si="15">SUM(F22:F34)</f>
        <v>7639245</v>
      </c>
      <c r="G35" s="16">
        <f t="shared" si="15"/>
        <v>8200467</v>
      </c>
      <c r="H35" s="30">
        <f>AVERAGE(H22:H34)</f>
        <v>6.5224064953584085E-2</v>
      </c>
      <c r="I35" s="16">
        <f>SUM(I22:I34)</f>
        <v>838202</v>
      </c>
      <c r="J35" s="30">
        <f>AVERAGE(J23:J34)</f>
        <v>7.0869385723177969E-2</v>
      </c>
      <c r="K35" s="16">
        <f>SUM(K22:K34)</f>
        <v>509066</v>
      </c>
      <c r="L35" s="30">
        <f>AVERAGE(L23:L34)</f>
        <v>4.6121082049604141E-2</v>
      </c>
      <c r="M35" s="30">
        <f t="shared" ref="M35:P35" si="16">AVERAGE(M23:M34)</f>
        <v>0.17733901195839394</v>
      </c>
      <c r="N35" s="30">
        <f t="shared" si="16"/>
        <v>0.15332298131950728</v>
      </c>
      <c r="O35" s="30">
        <f t="shared" si="16"/>
        <v>0.19584566300654729</v>
      </c>
      <c r="P35" s="30">
        <f t="shared" si="16"/>
        <v>5.5373787282055782E-2</v>
      </c>
      <c r="Q35" s="16">
        <f>SUM(Q22:Q34)</f>
        <v>233</v>
      </c>
      <c r="R35" s="16">
        <f>SUM(R22:R34)</f>
        <v>470</v>
      </c>
      <c r="S35" s="16">
        <f>SUM(S22:S34)</f>
        <v>93</v>
      </c>
      <c r="T35" s="16">
        <f t="shared" ref="T35:V35" si="17">SUM(T22:T34)</f>
        <v>1872</v>
      </c>
      <c r="U35" s="16">
        <f t="shared" si="17"/>
        <v>132</v>
      </c>
      <c r="V35" s="16">
        <f t="shared" si="17"/>
        <v>20163</v>
      </c>
      <c r="W35" s="31">
        <f t="shared" ref="W35" si="18">SUM(W22:W34)</f>
        <v>47736.729999999996</v>
      </c>
      <c r="X35" s="31">
        <f t="shared" ref="X35" si="19">SUM(X22:X34)</f>
        <v>47726.196099999986</v>
      </c>
      <c r="Y35" s="31">
        <f t="shared" ref="Y35" si="20">SUM(Y22:Y34)</f>
        <v>10.533900000001893</v>
      </c>
      <c r="Z35" s="16">
        <f>AVERAGE(Z22:Z34)</f>
        <v>4.416666666666667</v>
      </c>
      <c r="AA35" s="2"/>
      <c r="AB35" s="2"/>
      <c r="AC35" s="2"/>
      <c r="AD35" s="2"/>
      <c r="AE35" s="2"/>
      <c r="AF35" s="2"/>
      <c r="AG35" s="2"/>
      <c r="AH35" s="2"/>
      <c r="AI35" s="2"/>
    </row>
    <row r="36" spans="2:35" ht="15.75" customHeight="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6"/>
      <c r="Z36" s="2"/>
      <c r="AA36" s="2"/>
      <c r="AB36" s="2"/>
      <c r="AC36" s="2"/>
      <c r="AD36" s="2"/>
      <c r="AE36" s="2"/>
      <c r="AF36" s="2"/>
      <c r="AG36" s="2"/>
      <c r="AH36" s="2"/>
    </row>
    <row r="37" spans="2:35" ht="12.75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141"/>
      <c r="Y37" s="6"/>
      <c r="Z37" s="2"/>
      <c r="AA37" s="2"/>
      <c r="AB37" s="2"/>
      <c r="AC37" s="2"/>
      <c r="AD37" s="2"/>
      <c r="AE37" s="2"/>
      <c r="AF37" s="2"/>
      <c r="AG37" s="2"/>
      <c r="AH37" s="2"/>
    </row>
    <row r="38" spans="2:35" ht="12.75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6"/>
      <c r="Z38" s="2"/>
      <c r="AA38" s="2"/>
      <c r="AB38" s="2"/>
      <c r="AC38" s="2"/>
      <c r="AD38" s="2"/>
      <c r="AE38" s="2"/>
      <c r="AF38" s="2"/>
      <c r="AG38" s="2"/>
      <c r="AH38" s="2"/>
    </row>
    <row r="39" spans="2:35" ht="12.75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189"/>
      <c r="V39" s="2"/>
      <c r="W39" s="2"/>
      <c r="X39" s="2"/>
      <c r="Y39" s="6"/>
      <c r="Z39" s="2"/>
      <c r="AA39" s="2"/>
      <c r="AB39" s="2"/>
      <c r="AC39" s="2"/>
      <c r="AD39" s="2"/>
      <c r="AE39" s="2"/>
      <c r="AF39" s="2"/>
      <c r="AG39" s="2"/>
      <c r="AH39" s="2"/>
    </row>
    <row r="40" spans="2:35" ht="12.75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6"/>
      <c r="Z40" s="2"/>
      <c r="AA40" s="2"/>
      <c r="AB40" s="2"/>
      <c r="AC40" s="2"/>
      <c r="AD40" s="2"/>
      <c r="AE40" s="2"/>
      <c r="AF40" s="2"/>
      <c r="AG40" s="2"/>
      <c r="AH40" s="2"/>
    </row>
    <row r="41" spans="2:35" ht="12.75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6"/>
      <c r="Z41" s="2"/>
      <c r="AA41" s="2"/>
      <c r="AB41" s="2"/>
      <c r="AC41" s="2"/>
      <c r="AD41" s="2"/>
      <c r="AE41" s="2"/>
      <c r="AF41" s="2"/>
      <c r="AG41" s="2"/>
      <c r="AH41" s="2"/>
    </row>
    <row r="42" spans="2:35" ht="12.75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6"/>
      <c r="Z42" s="2"/>
      <c r="AA42" s="2"/>
      <c r="AB42" s="2"/>
      <c r="AC42" s="2"/>
      <c r="AD42" s="2"/>
      <c r="AE42" s="2"/>
      <c r="AF42" s="2"/>
      <c r="AG42" s="2"/>
      <c r="AH42" s="2"/>
    </row>
    <row r="43" spans="2:35" ht="12.75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6"/>
      <c r="Z43" s="2"/>
      <c r="AA43" s="2"/>
      <c r="AB43" s="2"/>
      <c r="AC43" s="2"/>
      <c r="AD43" s="2"/>
      <c r="AE43" s="2"/>
      <c r="AF43" s="2"/>
      <c r="AG43" s="2"/>
      <c r="AH43" s="2"/>
    </row>
    <row r="44" spans="2:35" ht="12.75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6"/>
      <c r="Z44" s="2"/>
      <c r="AA44" s="2"/>
      <c r="AB44" s="2"/>
      <c r="AC44" s="2"/>
      <c r="AD44" s="2"/>
      <c r="AE44" s="2"/>
      <c r="AF44" s="2"/>
      <c r="AG44" s="2"/>
      <c r="AH44" s="2"/>
    </row>
    <row r="45" spans="2:35" ht="12.75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6"/>
      <c r="Z45" s="2"/>
      <c r="AA45" s="2"/>
      <c r="AB45" s="2"/>
      <c r="AC45" s="2"/>
      <c r="AD45" s="2"/>
      <c r="AE45" s="2"/>
      <c r="AF45" s="2"/>
      <c r="AG45" s="2"/>
      <c r="AH45" s="2"/>
    </row>
    <row r="46" spans="2:35" ht="12.75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6"/>
      <c r="Z46" s="2"/>
      <c r="AA46" s="2"/>
      <c r="AB46" s="2"/>
      <c r="AC46" s="2"/>
      <c r="AD46" s="2"/>
      <c r="AE46" s="2"/>
      <c r="AF46" s="2"/>
      <c r="AG46" s="2"/>
      <c r="AH46" s="2"/>
    </row>
    <row r="47" spans="2:35" ht="12.75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6"/>
      <c r="Z47" s="2"/>
      <c r="AA47" s="2"/>
      <c r="AB47" s="2"/>
      <c r="AC47" s="2"/>
      <c r="AD47" s="2"/>
      <c r="AE47" s="2"/>
      <c r="AF47" s="2"/>
      <c r="AG47" s="2"/>
      <c r="AH47" s="2"/>
    </row>
    <row r="48" spans="2:35" ht="12.75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6"/>
      <c r="Z48" s="2"/>
      <c r="AA48" s="2"/>
      <c r="AB48" s="2"/>
      <c r="AC48" s="2"/>
      <c r="AD48" s="2"/>
      <c r="AE48" s="2"/>
      <c r="AF48" s="2"/>
      <c r="AG48" s="2"/>
      <c r="AH48" s="2"/>
    </row>
    <row r="49" spans="2:34" ht="12.75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6"/>
      <c r="Z49" s="2"/>
      <c r="AA49" s="2"/>
      <c r="AB49" s="2"/>
      <c r="AC49" s="2"/>
      <c r="AD49" s="2"/>
      <c r="AE49" s="2"/>
      <c r="AF49" s="2"/>
      <c r="AG49" s="2"/>
      <c r="AH49" s="2"/>
    </row>
    <row r="50" spans="2:34" ht="12.75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6"/>
      <c r="Z50" s="2"/>
      <c r="AA50" s="2"/>
      <c r="AB50" s="2"/>
      <c r="AC50" s="2"/>
      <c r="AD50" s="2"/>
      <c r="AE50" s="2"/>
      <c r="AF50" s="2"/>
      <c r="AG50" s="2"/>
      <c r="AH50" s="2"/>
    </row>
    <row r="51" spans="2:34" ht="12.75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6"/>
      <c r="Z51" s="2"/>
      <c r="AA51" s="2"/>
      <c r="AB51" s="2"/>
      <c r="AC51" s="2"/>
      <c r="AD51" s="2"/>
      <c r="AE51" s="2"/>
      <c r="AF51" s="2"/>
      <c r="AG51" s="2"/>
      <c r="AH51" s="2"/>
    </row>
    <row r="52" spans="2:34" ht="12.75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6"/>
      <c r="Z52" s="2"/>
      <c r="AA52" s="2"/>
      <c r="AB52" s="2"/>
      <c r="AC52" s="2"/>
      <c r="AD52" s="2"/>
      <c r="AE52" s="2"/>
      <c r="AF52" s="2"/>
      <c r="AG52" s="2"/>
      <c r="AH52" s="2"/>
    </row>
    <row r="53" spans="2:34" ht="12.75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6"/>
      <c r="Z53" s="2"/>
      <c r="AA53" s="2"/>
      <c r="AB53" s="2"/>
      <c r="AC53" s="2"/>
      <c r="AD53" s="2"/>
      <c r="AE53" s="2"/>
      <c r="AF53" s="2"/>
      <c r="AG53" s="2"/>
      <c r="AH53" s="2"/>
    </row>
    <row r="54" spans="2:34" ht="12.75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6"/>
      <c r="Z54" s="2"/>
      <c r="AA54" s="2"/>
      <c r="AB54" s="2"/>
      <c r="AC54" s="2"/>
      <c r="AD54" s="2"/>
      <c r="AE54" s="2"/>
      <c r="AF54" s="2"/>
      <c r="AG54" s="2"/>
      <c r="AH54" s="2"/>
    </row>
    <row r="55" spans="2:34" ht="12.75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6"/>
      <c r="Z55" s="2"/>
      <c r="AA55" s="2"/>
      <c r="AB55" s="2"/>
      <c r="AC55" s="2"/>
      <c r="AD55" s="2"/>
      <c r="AE55" s="2"/>
      <c r="AF55" s="2"/>
      <c r="AG55" s="2"/>
      <c r="AH55" s="2"/>
    </row>
    <row r="56" spans="2:34" ht="12.75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6"/>
      <c r="Z56" s="2"/>
      <c r="AA56" s="2"/>
      <c r="AB56" s="2"/>
      <c r="AC56" s="2"/>
      <c r="AD56" s="2"/>
      <c r="AE56" s="2"/>
      <c r="AF56" s="2"/>
      <c r="AG56" s="2"/>
      <c r="AH56" s="2"/>
    </row>
    <row r="57" spans="2:34" ht="12.75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6"/>
      <c r="Z57" s="2"/>
      <c r="AA57" s="2"/>
      <c r="AB57" s="2"/>
      <c r="AC57" s="2"/>
      <c r="AD57" s="2"/>
      <c r="AE57" s="2"/>
      <c r="AF57" s="2"/>
      <c r="AG57" s="2"/>
      <c r="AH57" s="2"/>
    </row>
    <row r="58" spans="2:34" ht="12.75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6"/>
      <c r="Z58" s="2"/>
      <c r="AA58" s="2"/>
      <c r="AB58" s="2"/>
      <c r="AC58" s="2"/>
      <c r="AD58" s="2"/>
      <c r="AE58" s="2"/>
      <c r="AF58" s="2"/>
      <c r="AG58" s="2"/>
      <c r="AH58" s="2"/>
    </row>
    <row r="59" spans="2:34" ht="12.75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6"/>
      <c r="Z59" s="2"/>
      <c r="AA59" s="2"/>
      <c r="AB59" s="2"/>
      <c r="AC59" s="2"/>
      <c r="AD59" s="2"/>
      <c r="AE59" s="2"/>
      <c r="AF59" s="2"/>
      <c r="AG59" s="2"/>
      <c r="AH59" s="2"/>
    </row>
    <row r="60" spans="2:34" ht="12.75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6"/>
      <c r="Z60" s="2"/>
      <c r="AA60" s="2"/>
      <c r="AB60" s="2"/>
      <c r="AC60" s="2"/>
      <c r="AD60" s="2"/>
      <c r="AE60" s="2"/>
      <c r="AF60" s="2"/>
      <c r="AG60" s="2"/>
      <c r="AH60" s="2"/>
    </row>
    <row r="61" spans="2:34" ht="12.75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6"/>
      <c r="Z61" s="2"/>
      <c r="AA61" s="2"/>
      <c r="AB61" s="2"/>
      <c r="AC61" s="2"/>
      <c r="AD61" s="2"/>
      <c r="AE61" s="2"/>
      <c r="AF61" s="2"/>
      <c r="AG61" s="2"/>
      <c r="AH61" s="2"/>
    </row>
    <row r="62" spans="2:34" ht="12.75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6"/>
      <c r="Z62" s="2"/>
      <c r="AA62" s="2"/>
      <c r="AB62" s="2"/>
      <c r="AC62" s="2"/>
      <c r="AD62" s="2"/>
      <c r="AE62" s="2"/>
      <c r="AF62" s="2"/>
      <c r="AG62" s="2"/>
      <c r="AH62" s="2"/>
    </row>
    <row r="63" spans="2:34" ht="12.75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6"/>
      <c r="Z63" s="2"/>
      <c r="AA63" s="2"/>
      <c r="AB63" s="2"/>
      <c r="AC63" s="2"/>
      <c r="AD63" s="2"/>
      <c r="AE63" s="2"/>
      <c r="AF63" s="2"/>
      <c r="AG63" s="2"/>
      <c r="AH63" s="2"/>
    </row>
    <row r="64" spans="2:34" ht="12.75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6"/>
      <c r="Z64" s="2"/>
      <c r="AA64" s="2"/>
      <c r="AB64" s="2"/>
      <c r="AC64" s="2"/>
      <c r="AD64" s="2"/>
      <c r="AE64" s="2"/>
      <c r="AF64" s="2"/>
      <c r="AG64" s="2"/>
      <c r="AH64" s="2"/>
    </row>
    <row r="65" spans="2:34" ht="12.75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6"/>
      <c r="Z65" s="2"/>
      <c r="AA65" s="2"/>
      <c r="AB65" s="2"/>
      <c r="AC65" s="2"/>
      <c r="AD65" s="2"/>
      <c r="AE65" s="2"/>
      <c r="AF65" s="2"/>
      <c r="AG65" s="2"/>
      <c r="AH65" s="2"/>
    </row>
    <row r="66" spans="2:34" ht="12.75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6"/>
      <c r="Z66" s="2"/>
      <c r="AA66" s="2"/>
      <c r="AB66" s="2"/>
      <c r="AC66" s="2"/>
      <c r="AD66" s="2"/>
      <c r="AE66" s="2"/>
      <c r="AF66" s="2"/>
      <c r="AG66" s="2"/>
      <c r="AH66" s="2"/>
    </row>
    <row r="67" spans="2:34" ht="12.75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6"/>
      <c r="Z67" s="2"/>
      <c r="AA67" s="2"/>
      <c r="AB67" s="2"/>
      <c r="AC67" s="2"/>
      <c r="AD67" s="2"/>
      <c r="AE67" s="2"/>
      <c r="AF67" s="2"/>
      <c r="AG67" s="2"/>
      <c r="AH67" s="2"/>
    </row>
    <row r="68" spans="2:34" ht="12.75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6"/>
      <c r="Z68" s="2"/>
      <c r="AA68" s="2"/>
      <c r="AB68" s="2"/>
      <c r="AC68" s="2"/>
      <c r="AD68" s="2"/>
      <c r="AE68" s="2"/>
      <c r="AF68" s="2"/>
      <c r="AG68" s="2"/>
      <c r="AH68" s="2"/>
    </row>
    <row r="69" spans="2:34" ht="12.75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6"/>
      <c r="Z69" s="2"/>
      <c r="AA69" s="2"/>
      <c r="AB69" s="2"/>
      <c r="AC69" s="2"/>
      <c r="AD69" s="2"/>
      <c r="AE69" s="2"/>
      <c r="AF69" s="2"/>
      <c r="AG69" s="2"/>
      <c r="AH69" s="2"/>
    </row>
    <row r="70" spans="2:34" ht="12.75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6"/>
      <c r="Z70" s="2"/>
      <c r="AA70" s="2"/>
      <c r="AB70" s="2"/>
      <c r="AC70" s="2"/>
      <c r="AD70" s="2"/>
      <c r="AE70" s="2"/>
      <c r="AF70" s="2"/>
      <c r="AG70" s="2"/>
      <c r="AH70" s="2"/>
    </row>
    <row r="71" spans="2:34" ht="12.75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6"/>
      <c r="Z71" s="2"/>
      <c r="AA71" s="2"/>
      <c r="AB71" s="2"/>
      <c r="AC71" s="2"/>
      <c r="AD71" s="2"/>
      <c r="AE71" s="2"/>
      <c r="AF71" s="2"/>
      <c r="AG71" s="2"/>
      <c r="AH71" s="2"/>
    </row>
    <row r="72" spans="2:34" ht="12.75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6"/>
      <c r="Z72" s="2"/>
      <c r="AA72" s="2"/>
      <c r="AB72" s="2"/>
      <c r="AC72" s="2"/>
      <c r="AD72" s="2"/>
      <c r="AE72" s="2"/>
      <c r="AF72" s="2"/>
      <c r="AG72" s="2"/>
      <c r="AH72" s="2"/>
    </row>
    <row r="73" spans="2:34" ht="12.75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6"/>
      <c r="Z73" s="2"/>
      <c r="AA73" s="2"/>
      <c r="AB73" s="2"/>
      <c r="AC73" s="2"/>
      <c r="AD73" s="2"/>
      <c r="AE73" s="2"/>
      <c r="AF73" s="2"/>
      <c r="AG73" s="2"/>
      <c r="AH73" s="2"/>
    </row>
    <row r="74" spans="2:34" ht="12.7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6"/>
      <c r="Z74" s="2"/>
      <c r="AA74" s="2"/>
      <c r="AB74" s="2"/>
      <c r="AC74" s="2"/>
      <c r="AD74" s="2"/>
      <c r="AE74" s="2"/>
      <c r="AF74" s="2"/>
      <c r="AG74" s="2"/>
      <c r="AH74" s="2"/>
    </row>
    <row r="75" spans="2:34" ht="12.75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6"/>
      <c r="Z75" s="2"/>
      <c r="AA75" s="2"/>
      <c r="AB75" s="2"/>
      <c r="AC75" s="2"/>
      <c r="AD75" s="2"/>
      <c r="AE75" s="2"/>
      <c r="AF75" s="2"/>
      <c r="AG75" s="2"/>
      <c r="AH75" s="2"/>
    </row>
    <row r="76" spans="2:34" ht="12.75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6"/>
      <c r="Z76" s="2"/>
      <c r="AA76" s="2"/>
      <c r="AB76" s="2"/>
      <c r="AC76" s="2"/>
      <c r="AD76" s="2"/>
      <c r="AE76" s="2"/>
      <c r="AF76" s="2"/>
      <c r="AG76" s="2"/>
      <c r="AH76" s="2"/>
    </row>
    <row r="77" spans="2:34" ht="12.75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6"/>
      <c r="Z77" s="2"/>
      <c r="AA77" s="2"/>
      <c r="AB77" s="2"/>
      <c r="AC77" s="2"/>
      <c r="AD77" s="2"/>
      <c r="AE77" s="2"/>
      <c r="AF77" s="2"/>
      <c r="AG77" s="2"/>
      <c r="AH77" s="2"/>
    </row>
    <row r="78" spans="2:34" ht="12.75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6"/>
      <c r="Z78" s="2"/>
      <c r="AA78" s="2"/>
      <c r="AB78" s="2"/>
      <c r="AC78" s="2"/>
      <c r="AD78" s="2"/>
      <c r="AE78" s="2"/>
      <c r="AF78" s="2"/>
      <c r="AG78" s="2"/>
      <c r="AH78" s="2"/>
    </row>
    <row r="79" spans="2:34" ht="12.75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6"/>
      <c r="Z79" s="2"/>
      <c r="AA79" s="2"/>
      <c r="AB79" s="2"/>
      <c r="AC79" s="2"/>
      <c r="AD79" s="2"/>
      <c r="AE79" s="2"/>
      <c r="AF79" s="2"/>
      <c r="AG79" s="2"/>
      <c r="AH79" s="2"/>
    </row>
    <row r="80" spans="2:34" ht="12.75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6"/>
      <c r="Z80" s="2"/>
      <c r="AA80" s="2"/>
      <c r="AB80" s="2"/>
      <c r="AC80" s="2"/>
      <c r="AD80" s="2"/>
      <c r="AE80" s="2"/>
      <c r="AF80" s="2"/>
      <c r="AG80" s="2"/>
      <c r="AH80" s="2"/>
    </row>
    <row r="81" spans="2:34" ht="12.75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6"/>
      <c r="Z81" s="2"/>
      <c r="AA81" s="2"/>
      <c r="AB81" s="2"/>
      <c r="AC81" s="2"/>
      <c r="AD81" s="2"/>
      <c r="AE81" s="2"/>
      <c r="AF81" s="2"/>
      <c r="AG81" s="2"/>
      <c r="AH81" s="2"/>
    </row>
    <row r="82" spans="2:34" ht="12.75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6"/>
      <c r="Z82" s="2"/>
      <c r="AA82" s="2"/>
      <c r="AB82" s="2"/>
      <c r="AC82" s="2"/>
      <c r="AD82" s="2"/>
      <c r="AE82" s="2"/>
      <c r="AF82" s="2"/>
      <c r="AG82" s="2"/>
      <c r="AH82" s="2"/>
    </row>
    <row r="83" spans="2:34" ht="12.75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6"/>
      <c r="Z83" s="2"/>
      <c r="AA83" s="2"/>
      <c r="AB83" s="2"/>
      <c r="AC83" s="2"/>
      <c r="AD83" s="2"/>
      <c r="AE83" s="2"/>
      <c r="AF83" s="2"/>
      <c r="AG83" s="2"/>
      <c r="AH83" s="2"/>
    </row>
    <row r="84" spans="2:34" ht="12.75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6"/>
      <c r="Z84" s="2"/>
      <c r="AA84" s="2"/>
      <c r="AB84" s="2"/>
      <c r="AC84" s="2"/>
      <c r="AD84" s="2"/>
      <c r="AE84" s="2"/>
      <c r="AF84" s="2"/>
      <c r="AG84" s="2"/>
      <c r="AH84" s="2"/>
    </row>
    <row r="85" spans="2:34" ht="12.75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6"/>
      <c r="Z85" s="2"/>
      <c r="AA85" s="2"/>
      <c r="AB85" s="2"/>
      <c r="AC85" s="2"/>
      <c r="AD85" s="2"/>
      <c r="AE85" s="2"/>
      <c r="AF85" s="2"/>
      <c r="AG85" s="2"/>
      <c r="AH85" s="2"/>
    </row>
    <row r="86" spans="2:34" ht="12.75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6"/>
      <c r="Z86" s="2"/>
      <c r="AA86" s="2"/>
      <c r="AB86" s="2"/>
      <c r="AC86" s="2"/>
      <c r="AD86" s="2"/>
      <c r="AE86" s="2"/>
      <c r="AF86" s="2"/>
      <c r="AG86" s="2"/>
      <c r="AH86" s="2"/>
    </row>
    <row r="87" spans="2:34" ht="12.75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6"/>
      <c r="Z87" s="2"/>
      <c r="AA87" s="2"/>
      <c r="AB87" s="2"/>
      <c r="AC87" s="2"/>
      <c r="AD87" s="2"/>
      <c r="AE87" s="2"/>
      <c r="AF87" s="2"/>
      <c r="AG87" s="2"/>
      <c r="AH87" s="2"/>
    </row>
    <row r="88" spans="2:34" ht="12.75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6"/>
      <c r="Z88" s="2"/>
      <c r="AA88" s="2"/>
      <c r="AB88" s="2"/>
      <c r="AC88" s="2"/>
      <c r="AD88" s="2"/>
      <c r="AE88" s="2"/>
      <c r="AF88" s="2"/>
      <c r="AG88" s="2"/>
      <c r="AH88" s="2"/>
    </row>
    <row r="89" spans="2:34" ht="12.75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6"/>
      <c r="Z89" s="2"/>
      <c r="AA89" s="2"/>
      <c r="AB89" s="2"/>
      <c r="AC89" s="2"/>
      <c r="AD89" s="2"/>
      <c r="AE89" s="2"/>
      <c r="AF89" s="2"/>
      <c r="AG89" s="2"/>
      <c r="AH89" s="2"/>
    </row>
    <row r="90" spans="2:34" ht="12.75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6"/>
      <c r="Z90" s="2"/>
      <c r="AA90" s="2"/>
      <c r="AB90" s="2"/>
      <c r="AC90" s="2"/>
      <c r="AD90" s="2"/>
      <c r="AE90" s="2"/>
      <c r="AF90" s="2"/>
      <c r="AG90" s="2"/>
      <c r="AH90" s="2"/>
    </row>
    <row r="91" spans="2:34" ht="12.75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6"/>
      <c r="Z91" s="2"/>
      <c r="AA91" s="2"/>
      <c r="AB91" s="2"/>
      <c r="AC91" s="2"/>
      <c r="AD91" s="2"/>
      <c r="AE91" s="2"/>
      <c r="AF91" s="2"/>
      <c r="AG91" s="2"/>
      <c r="AH91" s="2"/>
    </row>
    <row r="92" spans="2:34" ht="12.75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6"/>
      <c r="Z92" s="2"/>
      <c r="AA92" s="2"/>
      <c r="AB92" s="2"/>
      <c r="AC92" s="2"/>
      <c r="AD92" s="2"/>
      <c r="AE92" s="2"/>
      <c r="AF92" s="2"/>
      <c r="AG92" s="2"/>
      <c r="AH92" s="2"/>
    </row>
    <row r="93" spans="2:34" ht="12.75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6"/>
      <c r="Z93" s="2"/>
      <c r="AA93" s="2"/>
      <c r="AB93" s="2"/>
      <c r="AC93" s="2"/>
      <c r="AD93" s="2"/>
      <c r="AE93" s="2"/>
      <c r="AF93" s="2"/>
      <c r="AG93" s="2"/>
      <c r="AH93" s="2"/>
    </row>
    <row r="94" spans="2:34" ht="12.75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6"/>
      <c r="Z94" s="2"/>
      <c r="AA94" s="2"/>
      <c r="AB94" s="2"/>
      <c r="AC94" s="2"/>
      <c r="AD94" s="2"/>
      <c r="AE94" s="2"/>
      <c r="AF94" s="2"/>
      <c r="AG94" s="2"/>
      <c r="AH94" s="2"/>
    </row>
    <row r="95" spans="2:34" ht="12.75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6"/>
      <c r="Z95" s="2"/>
      <c r="AA95" s="2"/>
      <c r="AB95" s="2"/>
      <c r="AC95" s="2"/>
      <c r="AD95" s="2"/>
      <c r="AE95" s="2"/>
      <c r="AF95" s="2"/>
      <c r="AG95" s="2"/>
      <c r="AH95" s="2"/>
    </row>
    <row r="96" spans="2:34" ht="12.75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6"/>
      <c r="Z96" s="2"/>
      <c r="AA96" s="2"/>
      <c r="AB96" s="2"/>
      <c r="AC96" s="2"/>
      <c r="AD96" s="2"/>
      <c r="AE96" s="2"/>
      <c r="AF96" s="2"/>
      <c r="AG96" s="2"/>
      <c r="AH96" s="2"/>
    </row>
    <row r="97" spans="2:34" ht="12.75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6"/>
      <c r="Z97" s="2"/>
      <c r="AA97" s="2"/>
      <c r="AB97" s="2"/>
      <c r="AC97" s="2"/>
      <c r="AD97" s="2"/>
      <c r="AE97" s="2"/>
      <c r="AF97" s="2"/>
      <c r="AG97" s="2"/>
      <c r="AH97" s="2"/>
    </row>
    <row r="98" spans="2:34" ht="12.75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6"/>
      <c r="Z98" s="2"/>
      <c r="AA98" s="2"/>
      <c r="AB98" s="2"/>
      <c r="AC98" s="2"/>
      <c r="AD98" s="2"/>
      <c r="AE98" s="2"/>
      <c r="AF98" s="2"/>
      <c r="AG98" s="2"/>
      <c r="AH98" s="2"/>
    </row>
    <row r="99" spans="2:34" ht="12.75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6"/>
      <c r="Z99" s="2"/>
      <c r="AA99" s="2"/>
      <c r="AB99" s="2"/>
      <c r="AC99" s="2"/>
      <c r="AD99" s="2"/>
      <c r="AE99" s="2"/>
      <c r="AF99" s="2"/>
      <c r="AG99" s="2"/>
      <c r="AH99" s="2"/>
    </row>
    <row r="100" spans="2:34" ht="12.75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6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2:34" ht="12.75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6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2:34" ht="12.75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6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2:34" ht="12.75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6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2:34" ht="12.75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6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2:34" ht="12.75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6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2:34" ht="12.75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6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2:34" ht="12.75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6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2:34" ht="12.75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6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2:34" ht="12.75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6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2:34" ht="12.75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6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2:34" ht="12.75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6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2:34" ht="12.75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6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2:34" ht="12.75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6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2:34" ht="12.75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6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2:34" ht="12.75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6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2:34" ht="12.75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6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2:34" ht="12.75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6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2:34" ht="12.75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6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2:34" ht="12.75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6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2:34" ht="12.75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6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2:34" ht="12.75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6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2:34" ht="12.75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6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2:34" ht="12.75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6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2:34" ht="12.75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6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2:34" ht="12.75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6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2:34" ht="12.75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6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2:34" ht="12.75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6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2:34" ht="12.75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6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2:34" ht="12.75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6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2:34" ht="12.75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6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2:34" ht="12.75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6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2:34" ht="12.75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6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2:34" ht="12.75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6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2:34" ht="12.75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6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2:34" ht="12.75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6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2:34" ht="12.75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6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2:34" ht="12.75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6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2:34" ht="12.75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6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2:34" ht="12.75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6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2:34" ht="12.75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6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2:34" ht="12.75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6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2:34" ht="12.75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6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2:34" ht="12.75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6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2:34" ht="12.75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6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2:34" ht="12.75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6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2:34" ht="12.75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6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2:34" ht="12.75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6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2:34" ht="12.75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6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2:34" ht="12.75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6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2:34" ht="12.75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6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2:34" ht="12.75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6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2:34" ht="12.75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6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2:34" ht="12.75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6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2:34" ht="12.75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6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2:34" ht="12.75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6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2:34" ht="12.75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6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2:34" ht="12.75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6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2:34" ht="12.75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6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2:34" ht="12.75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6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2:34" ht="12.75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6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2:34" ht="12.75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6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2:34" ht="12.75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6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2:34" ht="12.75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6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2:34" ht="12.75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6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2:34" ht="12.75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6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2:34" ht="12.75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6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2:34" ht="12.75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6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2:34" ht="12.75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6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2:34" ht="12.75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6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2:34" ht="12.75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6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2:34" ht="12.75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6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2:34" ht="12.75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6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2:34" ht="12.75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6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2:34" ht="12.75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6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2:34" ht="12.75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6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2:34" ht="12.75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6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2:34" ht="12.75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6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2:34" ht="12.75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6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2:34" ht="12.75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6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2:34" ht="12.75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6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2:34" ht="12.75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6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2:34" ht="12.75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6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2:34" ht="12.75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6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2:34" ht="12.75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6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2:34" ht="12.75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6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2:34" ht="12.75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6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2:34" ht="12.75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6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2:34" ht="12.75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6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2:34" ht="12.75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6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2:34" ht="12.75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6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2:34" ht="12.75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6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2:34" ht="12.75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6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2:34" ht="12.75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6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2:34" ht="12.75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6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2:34" ht="12.75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6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2:34" ht="12.75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6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2:34" ht="12.75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6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2:34" ht="12.75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6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2:34" ht="12.75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6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2:34" ht="12.75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6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2:34" ht="12.75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6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2:34" ht="12.75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6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2:34" ht="12.75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6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2:34" ht="12.75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6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2:34" ht="12.75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6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2:34" ht="12.75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6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2:34" ht="12.75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6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2:34" ht="12.75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6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2:34" ht="12.75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6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2:34" ht="12.75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6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2:34" ht="12.75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6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2:34" ht="12.75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6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2:34" ht="12.75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6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2:34" ht="12.75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6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2:34" ht="12.75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6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2:34" ht="12.75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6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2:34" ht="12.75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6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2:34" ht="12.75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6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2:34" ht="12.75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6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2:34" ht="12.75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6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2:34" ht="12.75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6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2:34" ht="12.75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6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2:34" ht="12.75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6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2:34" ht="12.75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6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2:34" ht="12.75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6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2:34" ht="12.75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6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2:34" ht="12.75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6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2:34" ht="12.75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6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2:34" ht="12.75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6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2:34" ht="12.75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6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2:34" ht="12.75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6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2:34" ht="12.75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6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2:34" ht="12.75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6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2:34" ht="12.75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6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2:34" ht="12.75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6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2:34" ht="12.75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6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2:34" ht="12.75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6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2:34" ht="12.75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6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2:34" ht="12.75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6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2:34" ht="12.75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6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2:34" ht="12.75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6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2:34" ht="12.75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6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2:34" ht="12.75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6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2:34" ht="12.75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6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2:34" ht="12.75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6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2:34" ht="12.75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6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2:34" ht="12.75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6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2:34" ht="12.75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6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2:34" ht="12.75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6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2:34" ht="12.75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6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2:34" ht="12.75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6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2:34" ht="12.75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6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2:34" ht="12.75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6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2:34" ht="12.75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6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2:34" ht="12.75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6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2:34" ht="12.75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6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2:34" ht="12.75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6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2:34" ht="12.75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6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2:34" ht="12.75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6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2:34" ht="12.75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6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2:34" ht="12.75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6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2:34" ht="12.75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6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2:34" ht="12.75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6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2:34" ht="12.75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6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2:34" ht="12.75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6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2:34" ht="12.75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6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2:34" ht="12.75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6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2:34" ht="12.75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6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2:34" ht="12.75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6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2:34" ht="12.75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6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2:34" ht="12.75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6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2:34" ht="12.75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6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2:34" ht="12.75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6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2:34" ht="12.75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6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2:34" ht="12.75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6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2:34" ht="12.75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6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2:34" ht="12.75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6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2:34" ht="12.75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6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2:34" ht="12.75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6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2:34" ht="12.75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6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2:34" ht="12.75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6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2:34" ht="12.75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6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2:34" ht="12.75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6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2:34" ht="12.75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6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2:34" ht="12.75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6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2:34" ht="12.75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6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2:34" ht="12.75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6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2:34" ht="12.75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6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2:34" ht="12.75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6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2:34" ht="12.75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6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2:34" ht="12.75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6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2:34" ht="12.75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6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2:34" ht="12.75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6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2:34" ht="12.75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6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2:34" ht="12.75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6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2:34" ht="12.75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6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2:34" ht="12.75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6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2:34" ht="12.75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6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2:34" ht="12.75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6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2:34" ht="12.75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6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2:34" ht="12.75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6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2:34" ht="12.75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6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2:34" ht="12.75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6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2:34" ht="12.75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6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2:34" ht="12.75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6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2:34" ht="12.75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6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2:34" ht="12.75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6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2:34" ht="12.75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6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2:34" ht="12.75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6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2:34" ht="12.75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6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2:34" ht="12.75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6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2:34" ht="12.75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6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2:34" ht="12.75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6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2:34" ht="12.75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6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2:34" ht="12.75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6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2:34" ht="12.75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6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2:34" ht="12.75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6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2:34" ht="12.75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6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2:34" ht="12.75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6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2:34" ht="12.75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6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2:34" ht="12.75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6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2:34" ht="12.75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6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2:34" ht="12.75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6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2:34" ht="12.75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6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2:34" ht="12.75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6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2:34" ht="12.75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6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2:34" ht="12.75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6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2:34" ht="12.75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6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2:34" ht="12.75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6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2:34" ht="12.75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6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2:34" ht="12.75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6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2:34" ht="12.75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6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2:34" ht="12.75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6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2:34" ht="12.75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6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2:34" ht="12.75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6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2:34" ht="12.75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6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2:34" ht="12.75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6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2:34" ht="12.75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6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2:34" ht="12.75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6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2:34" ht="12.75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6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2:34" ht="12.75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6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2:34" ht="12.75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6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2:34" ht="12.75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6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2:34" ht="12.75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6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2:34" ht="12.75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6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2:34" ht="12.75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6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2:34" ht="12.75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6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2:34" ht="12.75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6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2:34" ht="12.75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6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2:34" ht="12.75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6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2:34" ht="12.75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6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2:34" ht="12.75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6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2:34" ht="12.75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6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2:34" ht="12.75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6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2:34" ht="12.75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6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2:34" ht="12.75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6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2:34" ht="12.75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6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2:34" ht="12.75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6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2:34" ht="12.75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6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2:34" ht="12.75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6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2:34" ht="12.75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6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2:34" ht="12.75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6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2:34" ht="12.75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6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2:34" ht="12.75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6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2:34" ht="12.75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6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2:34" ht="12.75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6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2:34" ht="12.75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6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2:34" ht="12.75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6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2:34" ht="12.75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6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2:34" ht="12.75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6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2:34" ht="12.75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6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2:34" ht="12.75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6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2:34" ht="12.75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6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2:34" ht="12.75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6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2:34" ht="12.75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6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2:34" ht="12.75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6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2:34" ht="12.75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6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2:34" ht="12.75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6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2:34" ht="12.75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6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2:34" ht="12.75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6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2:34" ht="12.75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6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2:34" ht="12.75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6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2:34" ht="12.75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6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2:34" ht="12.75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6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2:34" ht="12.75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6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2:34" ht="12.75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6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2:34" ht="12.75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6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2:34" ht="12.75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6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2:34" ht="12.75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6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2:34" ht="12.75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6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2:34" ht="12.75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6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2:34" ht="12.75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6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2:34" ht="12.75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6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2:34" ht="12.75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6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2:34" ht="12.75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6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2:34" ht="12.75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6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2:34" ht="12.75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6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2:34" ht="12.75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6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2:34" ht="12.75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6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2:34" ht="12.75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6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2:34" ht="12.75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6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2:34" ht="12.75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6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2:34" ht="12.75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6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2:34" ht="12.75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6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2:34" ht="12.75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6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2:34" ht="12.75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6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2:34" ht="12.75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6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2:34" ht="12.75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6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2:34" ht="12.75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6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2:34" ht="12.75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6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2:34" ht="12.75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6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2:34" ht="12.75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6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2:34" ht="12.75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6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2:34" ht="12.75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6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2:34" ht="12.75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6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2:34" ht="12.75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6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2:34" ht="12.75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6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2:34" ht="12.75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6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2:34" ht="12.75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6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2:34" ht="12.75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6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2:34" ht="12.75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6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2:34" ht="12.75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6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2:34" ht="12.75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6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2:34" ht="12.75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6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2:34" ht="12.75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6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2:34" ht="12.75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6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2:34" ht="12.75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6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2:34" ht="12.75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6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2:34" ht="12.75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6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2:34" ht="12.75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6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2:34" ht="12.75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6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2:34" ht="12.75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6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2:34" ht="12.75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6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2:34" ht="12.75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6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2:34" ht="12.75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6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2:34" ht="12.75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6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2:34" ht="12.75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6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2:34" ht="12.75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6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2:34" ht="12.75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6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2:34" ht="12.75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6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2:34" ht="12.75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6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2:34" ht="12.75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6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2:34" ht="12.75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6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2:34" ht="12.75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6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2:34" ht="12.75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6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2:34" ht="12.75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6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2:34" ht="12.75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6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2:34" ht="12.75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6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2:34" ht="12.75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6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2:34" ht="12.75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6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2:34" ht="12.75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6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2:34" ht="12.75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6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2:34" ht="12.75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6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2:34" ht="12.75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6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2:34" ht="12.75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6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2:34" ht="12.75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6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2:34" ht="12.75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6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2:34" ht="12.75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6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2:34" ht="12.75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6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2:34" ht="12.75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6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2:34" ht="12.75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6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2:34" ht="12.75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6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2:34" ht="12.75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6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2:34" ht="12.75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6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2:34" ht="12.75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6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2:34" ht="12.75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6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2:34" ht="12.75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6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2:34" ht="12.75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6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2:34" ht="12.75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6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2:34" ht="12.75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6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2:34" ht="12.75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6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2:34" ht="12.75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6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2:34" ht="12.75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6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2:34" ht="12.75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6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2:34" ht="12.75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6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2:34" ht="12.75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6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2:34" ht="12.75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6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2:34" ht="12.75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6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2:34" ht="12.75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6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2:34" ht="12.75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6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2:34" ht="12.75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6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2:34" ht="12.75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6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2:34" ht="12.75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6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2:34" ht="12.75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6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2:34" ht="12.75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6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2:34" ht="12.75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6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2:34" ht="12.75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6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2:34" ht="12.75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6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2:34" ht="12.75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6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2:34" ht="12.75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6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2:34" ht="12.75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6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2:34" ht="12.75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6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2:34" ht="12.75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6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2:34" ht="12.75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6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2:34" ht="12.75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6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2:34" ht="12.75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6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2:34" ht="12.75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6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2:34" ht="12.75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6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2:34" ht="12.75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6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2:34" ht="12.75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6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2:34" ht="12.75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6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2:34" ht="12.75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6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2:34" ht="12.75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6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2:34" ht="12.75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6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2:34" ht="12.75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6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2:34" ht="12.75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6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2:34" ht="12.75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6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2:34" ht="12.75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6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2:34" ht="12.75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6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2:34" ht="12.75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6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2:34" ht="12.75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6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2:34" ht="12.75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6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2:34" ht="12.75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6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2:34" ht="12.75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6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2:34" ht="12.75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6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2:34" ht="12.75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6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2:34" ht="12.75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6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2:34" ht="12.75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6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2:34" ht="12.75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6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2:34" ht="12.75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6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2:34" ht="12.75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6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2:34" ht="12.75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6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2:34" ht="12.75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6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2:34" ht="12.75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6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2:34" ht="12.75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6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2:34" ht="12.75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6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2:34" ht="12.75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6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2:34" ht="12.75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6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2:34" ht="12.75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6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2:34" ht="12.75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6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2:34" ht="12.75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6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2:34" ht="12.75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6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2:34" ht="12.75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6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2:34" ht="12.75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6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2:34" ht="12.75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6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2:34" ht="12.75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6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2:34" ht="12.75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6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2:34" ht="12.75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6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2:34" ht="12.75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6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2:34" ht="12.75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6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2:34" ht="12.75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6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2:34" ht="12.75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6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2:34" ht="12.75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6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2:34" ht="12.75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6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2:34" ht="12.75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6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2:34" ht="12.75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6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2:34" ht="12.75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6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2:34" ht="12.75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6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2:34" ht="12.75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6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2:34" ht="12.75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6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2:34" ht="12.75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6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2:34" ht="12.75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6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2:34" ht="12.75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6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2:34" ht="12.75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6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2:34" ht="12.75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6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2:34" ht="12.75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6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2:34" ht="12.75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6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2:34" ht="12.75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6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2:34" ht="12.75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6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2:34" ht="12.75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6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2:34" ht="12.75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6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2:34" ht="12.75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6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2:34" ht="12.75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6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2:34" ht="12.75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6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2:34" ht="12.75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6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2:34" ht="12.75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6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2:34" ht="12.75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6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2:34" ht="12.75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6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2:34" ht="12.75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6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2:34" ht="12.75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6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2:34" ht="12.75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6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2:34" ht="12.75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6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2:34" ht="12.75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6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2:34" ht="12.75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6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2:34" ht="12.75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6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2:34" ht="12.75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6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2:34" ht="12.75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6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2:34" ht="12.75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6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2:34" ht="12.75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6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2:34" ht="12.75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6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2:34" ht="12.75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6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2:34" ht="12.75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6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2:34" ht="12.75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6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2:34" ht="12.75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6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2:34" ht="12.75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6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2:34" ht="12.75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6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2:34" ht="12.75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6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2:34" ht="12.75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6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2:34" ht="12.75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6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2:34" ht="12.75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6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2:34" ht="12.75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6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2:34" ht="12.75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6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2:34" ht="12.75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6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2:34" ht="12.75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6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2:34" ht="12.75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6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2:34" ht="12.75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6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2:34" ht="12.75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6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2:34" ht="12.75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6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2:34" ht="12.75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6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2:34" ht="12.75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6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2:34" ht="12.75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6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2:34" ht="12.75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6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2:34" ht="12.75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6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2:34" ht="12.75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6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2:34" ht="12.75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6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2:34" ht="12.75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6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2:34" ht="12.75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6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2:34" ht="12.75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6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2:34" ht="12.75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6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2:34" ht="12.75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6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2:34" ht="12.75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6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2:34" ht="12.75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6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2:34" ht="12.75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6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2:34" ht="12.75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6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2:34" ht="12.75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6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2:34" ht="12.75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6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2:34" ht="12.75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6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2:34" ht="12.75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6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2:34" ht="12.75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6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2:34" ht="12.75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6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2:34" ht="12.75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6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2:34" ht="12.75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6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2:34" ht="12.75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6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2:34" ht="12.75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6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2:34" ht="12.75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6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2:34" ht="12.75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6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2:34" ht="12.75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6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2:34" ht="12.75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6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2:34" ht="12.75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6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2:34" ht="12.75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6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2:34" ht="12.75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6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2:34" ht="12.75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6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2:34" ht="12.75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6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2:34" ht="12.75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6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2:34" ht="12.75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6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2:34" ht="12.75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6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2:34" ht="12.75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6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2:34" ht="12.75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6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2:34" ht="12.75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6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2:34" ht="12.75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6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2:34" ht="12.75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6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2:34" ht="12.75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6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2:34" ht="12.75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6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2:34" ht="12.75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6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2:34" ht="12.75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6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2:34" ht="12.75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6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2:34" ht="12.75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6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2:34" ht="12.75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6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2:34" ht="12.75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6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2:34" ht="12.75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6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2:34" ht="12.75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6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2:34" ht="12.75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6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2:34" ht="12.75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6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2:34" ht="12.75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6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2:34" ht="12.75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6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2:34" ht="12.75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6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2:34" ht="12.75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6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2:34" ht="12.75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6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2:34" ht="12.75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6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2:34" ht="12.75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6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2:34" ht="12.75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6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2:34" ht="12.75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6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2:34" ht="12.75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6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2:34" ht="12.75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6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2:34" ht="12.75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6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2:34" ht="12.75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6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2:34" ht="12.75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6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2:34" ht="12.75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6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2:34" ht="12.75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6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2:34" ht="12.75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6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2:34" ht="12.75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6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2:34" ht="12.75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6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2:34" ht="12.75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6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2:34" ht="12.75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6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2:34" ht="12.75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6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2:34" ht="12.75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6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2:34" ht="12.75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6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2:34" ht="12.75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6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2:34" ht="12.75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6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2:34" ht="12.75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6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2:34" ht="12.75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6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2:34" ht="12.75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6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2:34" ht="12.75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6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2:34" ht="12.75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6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2:34" ht="12.75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6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2:34" ht="12.75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6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2:34" ht="12.75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6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2:34" ht="12.75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6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2:34" ht="12.75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6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2:34" ht="12.75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6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2:34" ht="12.75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6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2:34" ht="12.75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6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2:34" ht="12.75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6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2:34" ht="12.75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6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2:34" ht="12.75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6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2:34" ht="12.75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6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2:34" ht="12.75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6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2:34" ht="12.75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6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2:34" ht="12.75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6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2:34" ht="12.75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6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2:34" ht="12.75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6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2:34" ht="12.75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6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2:34" ht="12.75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6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2:34" ht="12.75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6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2:34" ht="12.75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6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2:34" ht="12.75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6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2:34" ht="12.75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6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2:34" ht="12.75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6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2:34" ht="12.75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6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2:34" ht="12.75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6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2:34" ht="12.75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6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2:34" ht="12.75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6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2:34" ht="12.75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6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2:34" ht="12.75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6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2:34" ht="12.75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6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2:34" ht="12.75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6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2:34" ht="12.75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6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2:34" ht="12.75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6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2:34" ht="12.75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6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2:34" ht="12.75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6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2:34" ht="12.75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6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2:34" ht="12.75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6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2:34" ht="12.75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6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2:34" ht="12.75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6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2:34" ht="12.75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6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2:34" ht="12.75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6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2:34" ht="12.75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6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2:34" ht="12.75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6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2:34" ht="12.75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6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2:34" ht="12.75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6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2:34" ht="12.75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6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2:34" ht="12.75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6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2:34" ht="12.75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6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2:34" ht="12.75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6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2:34" ht="12.75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6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2:34" ht="12.75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6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2:34" ht="12.75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6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2:34" ht="12.75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6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2:34" ht="12.75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6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2:34" ht="12.75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6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2:34" ht="12.75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6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2:34" ht="12.75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6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2:34" ht="12.75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6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2:34" ht="12.75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6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2:34" ht="12.75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6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2:34" ht="12.75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6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2:34" ht="12.75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6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2:34" ht="12.75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6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2:34" ht="12.75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6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2:34" ht="12.75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6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2:34" ht="12.75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6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2:34" ht="12.75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6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2:34" ht="12.75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6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2:34" ht="12.75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6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2:34" ht="12.75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6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2:34" ht="12.75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6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2:34" ht="12.75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6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2:34" ht="12.75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6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2:34" ht="12.75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6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2:34" ht="12.75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6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2:34" ht="12.75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6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2:34" ht="12.75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6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2:34" ht="12.75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6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2:34" ht="12.75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6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2:34" ht="12.75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6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2:34" ht="12.75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6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2:34" ht="12.75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6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2:34" ht="12.75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6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2:34" ht="12.75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6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2:34" ht="12.75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6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2:34" ht="12.75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6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2:34" ht="12.75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6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2:34" ht="12.75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6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2:34" ht="12.75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6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2:34" ht="12.75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6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2:34" ht="12.75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6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2:34" ht="12.75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6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2:34" ht="12.75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6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2:34" ht="12.75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6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2:34" ht="12.75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6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2:34" ht="12.75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6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2:34" ht="12.75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6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2:34" ht="12.75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6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2:34" ht="12.75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6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2:34" ht="12.75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6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2:34" ht="12.75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6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2:34" ht="12.75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6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2:34" ht="12.75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6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2:34" ht="12.75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6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2:34" ht="12.75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6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2:34" ht="12.75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6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2:34" ht="12.75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6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2:34" ht="12.75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6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2:34" ht="12.75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6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2:34" ht="12.75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6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2:34" ht="12.75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6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2:34" ht="12.75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6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2:34" ht="12.75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6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2:34" ht="12.75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6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2:34" ht="12.75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6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2:34" ht="12.75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6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2:34" ht="12.75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6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2:34" ht="12.75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6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2:34" ht="12.75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6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2:34" ht="12.75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6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2:34" ht="12.75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6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2:34" ht="12.75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6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2:34" ht="12.75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6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2:34" ht="12.75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6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2:34" ht="12.75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6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2:34" ht="12.75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6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2:34" ht="12.75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6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2:34" ht="12.75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6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2:34" ht="12.75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6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2:34" ht="12.75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6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2:34" ht="12.75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6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2:34" ht="12.75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6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2:34" ht="12.75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6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2:34" ht="12.75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6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2:34" ht="12.75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6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2:34" ht="12.75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6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2:34" ht="12.75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6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2:34" ht="12.75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6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2:34" ht="12.75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6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2:34" ht="12.75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6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2:34" ht="12.75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6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2:34" ht="12.75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6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2:34" ht="12.75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6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2:34" ht="12.75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6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2:34" ht="12.75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6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2:34" ht="12.75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6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2:34" ht="12.75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6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2:34" ht="12.75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6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2:34" ht="12.75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6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2:34" ht="12.75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6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2:34" ht="12.75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6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2:34" ht="12.75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6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2:34" ht="12.75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6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2:34" ht="12.75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6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2:34" ht="12.75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6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2:34" ht="12.75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6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2:34" ht="12.75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6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2:34" ht="12.75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6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2:34" ht="12.75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6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2:34" ht="12.75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6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2:34" ht="12.75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6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2:34" ht="12.75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6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2:34" ht="12.75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6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2:34" ht="12.75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6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2:34" ht="12.75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6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2:34" ht="12.75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6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2:34" ht="12.75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6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2:34" ht="12.75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6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2:34" ht="12.75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6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2:34" ht="12.75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6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2:34" ht="12.75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6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2:34" ht="12.75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6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2:34" ht="12.75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6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2:34" ht="12.75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6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2:34" ht="12.75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6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2:34" ht="12.75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6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2:34" ht="12.75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6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2:34" ht="12.75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6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2:34" ht="12.75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6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2:34" ht="12.75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6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2:34" ht="12.75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6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2:34" ht="12.75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6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2:34" ht="12.75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6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2:34" ht="12.75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6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2:34" ht="12.75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6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2:34" ht="12.75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6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2:34" ht="12.75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6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2:34" ht="12.75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6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2:34" ht="12.75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6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2:34" ht="12.75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6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2:34" ht="12.75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6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2:34" ht="12.75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6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2:34" ht="12.75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6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2:34" ht="12.75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6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2:34" ht="12.75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6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2:34" ht="12.75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6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2:34" ht="12.75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6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2:34" ht="12.75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6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2:34" ht="12.75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6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2:34" ht="12.75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6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2:34" ht="12.75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6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2:34" ht="12.75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6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2:34" ht="12.75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6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2:34" ht="12.75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6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2:34" ht="12.75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6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2:34" ht="12.75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6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2:34" ht="12.75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6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2:34" ht="12.75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6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2:34" ht="12.75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6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2:34" ht="12.75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6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2:34" ht="12.75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6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2:34" ht="12.75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6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2:34" ht="12.75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6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2:34" ht="12.75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6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2:34" ht="12.75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6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2:34" ht="12.75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6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2:34" ht="12.75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6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2:34" ht="12.75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6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2:34" ht="12.75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6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2:34" ht="12.75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6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2:34" ht="12.75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6"/>
      <c r="Z906" s="2"/>
      <c r="AA906" s="2"/>
      <c r="AB906" s="2"/>
      <c r="AC906" s="2"/>
      <c r="AD906" s="2"/>
      <c r="AE906" s="2"/>
      <c r="AF906" s="2"/>
      <c r="AG906" s="2"/>
      <c r="AH906" s="2"/>
    </row>
  </sheetData>
  <mergeCells count="3">
    <mergeCell ref="B20:Z20"/>
    <mergeCell ref="B35:D35"/>
    <mergeCell ref="B23:B34"/>
  </mergeCells>
  <conditionalFormatting sqref="W8">
    <cfRule type="cellIs" dxfId="17" priority="21" operator="greaterThan">
      <formula>1</formula>
    </cfRule>
    <cfRule type="cellIs" dxfId="16" priority="22" operator="greaterThan">
      <formula>1</formula>
    </cfRule>
  </conditionalFormatting>
  <conditionalFormatting sqref="W8 Z8">
    <cfRule type="cellIs" dxfId="15" priority="20" operator="greaterThan">
      <formula>0.99</formula>
    </cfRule>
  </conditionalFormatting>
  <conditionalFormatting sqref="W8 Z8">
    <cfRule type="cellIs" dxfId="14" priority="19" operator="lessThan">
      <formula>0.99</formula>
    </cfRule>
  </conditionalFormatting>
  <conditionalFormatting sqref="W9:W12">
    <cfRule type="cellIs" dxfId="13" priority="13" operator="greaterThan">
      <formula>1</formula>
    </cfRule>
    <cfRule type="cellIs" dxfId="12" priority="14" operator="greaterThan">
      <formula>1</formula>
    </cfRule>
  </conditionalFormatting>
  <conditionalFormatting sqref="Z9:Z12 W9:W12">
    <cfRule type="cellIs" dxfId="11" priority="12" operator="greaterThan">
      <formula>0.99</formula>
    </cfRule>
  </conditionalFormatting>
  <conditionalFormatting sqref="Z9:Z12 W9:W12">
    <cfRule type="cellIs" dxfId="10" priority="11" operator="lessThan">
      <formula>0.99</formula>
    </cfRule>
  </conditionalFormatting>
  <conditionalFormatting sqref="W7">
    <cfRule type="cellIs" dxfId="9" priority="9" operator="greaterThan">
      <formula>1</formula>
    </cfRule>
    <cfRule type="cellIs" dxfId="8" priority="10" operator="greaterThan">
      <formula>1</formula>
    </cfRule>
  </conditionalFormatting>
  <conditionalFormatting sqref="W7">
    <cfRule type="cellIs" dxfId="7" priority="8" operator="greaterThan">
      <formula>0.99</formula>
    </cfRule>
  </conditionalFormatting>
  <conditionalFormatting sqref="W7">
    <cfRule type="cellIs" dxfId="6" priority="7" operator="lessThan">
      <formula>0.99</formula>
    </cfRule>
  </conditionalFormatting>
  <conditionalFormatting sqref="Z8">
    <cfRule type="cellIs" dxfId="5" priority="5" operator="greaterThan">
      <formula>1</formula>
    </cfRule>
    <cfRule type="cellIs" dxfId="4" priority="6" operator="greaterThan">
      <formula>1</formula>
    </cfRule>
  </conditionalFormatting>
  <conditionalFormatting sqref="Z7">
    <cfRule type="cellIs" dxfId="3" priority="3" operator="greaterThan">
      <formula>1</formula>
    </cfRule>
    <cfRule type="cellIs" dxfId="2" priority="4" operator="greaterThan">
      <formula>1</formula>
    </cfRule>
  </conditionalFormatting>
  <conditionalFormatting sqref="Z7">
    <cfRule type="cellIs" dxfId="1" priority="2" operator="greaterThan">
      <formula>0.99</formula>
    </cfRule>
  </conditionalFormatting>
  <conditionalFormatting sqref="Z7">
    <cfRule type="cellIs" dxfId="0" priority="1" operator="lessThan">
      <formula>0.99</formula>
    </cfRule>
  </conditionalFormatting>
  <pageMargins left="0.7" right="0.7" top="0.75" bottom="0.75" header="0.3" footer="0.3"/>
  <pageSetup paperSize="9" scale="53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Overview</vt:lpstr>
      <vt:lpstr>ID</vt:lpstr>
      <vt:lpstr>MY</vt:lpstr>
      <vt:lpstr>SG</vt:lpstr>
      <vt:lpstr>TH</vt:lpstr>
      <vt:lpstr>VN</vt:lpstr>
      <vt:lpstr>AU</vt:lpstr>
      <vt:lpstr>AU!Print_Area</vt:lpstr>
      <vt:lpstr>ID!Print_Area</vt:lpstr>
      <vt:lpstr>MY!Print_Area</vt:lpstr>
      <vt:lpstr>Overview!Print_Area</vt:lpstr>
      <vt:lpstr>SG!Print_Area</vt:lpstr>
      <vt:lpstr>TH!Print_Area</vt:lpstr>
      <vt:lpstr>VN!Print_Area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Lydia Adlina</dc:creator>
  <cp:keywords/>
  <dc:description/>
  <cp:lastModifiedBy>hi</cp:lastModifiedBy>
  <cp:revision/>
  <dcterms:created xsi:type="dcterms:W3CDTF">2017-05-11T10:41:08Z</dcterms:created>
  <dcterms:modified xsi:type="dcterms:W3CDTF">2021-02-16T09:26:58Z</dcterms:modified>
  <cp:category/>
  <cp:contentStatus/>
</cp:coreProperties>
</file>